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2.xml" ContentType="application/vnd.openxmlformats-officedocument.drawing+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mc:AlternateContent xmlns:mc="http://schemas.openxmlformats.org/markup-compatibility/2006">
    <mc:Choice Requires="x15">
      <x15ac:absPath xmlns:x15ac="http://schemas.microsoft.com/office/spreadsheetml/2010/11/ac" url="L:\Oekoenergie\Energieeffizienz\01 Datenbank\Interimistische Formulare\Standardisierter Kurzbericht\"/>
    </mc:Choice>
  </mc:AlternateContent>
  <xr:revisionPtr revIDLastSave="0" documentId="13_ncr:1_{7F59E508-A2D6-4632-906C-6DBCA05501FB}" xr6:coauthVersionLast="47" xr6:coauthVersionMax="47" xr10:uidLastSave="{00000000-0000-0000-0000-000000000000}"/>
  <workbookProtection workbookAlgorithmName="SHA-512" workbookHashValue="bjBfsJ/eg9g01J/BJhPX/7h3vLBbgzu+14KK0ogIWCyUXfW14193m6Ag7p1MM8qj9+VDw16YMSGc7my9cHYelA==" workbookSaltValue="gMB/3YWC9WYUFpN7T05INA==" workbookSpinCount="100000" lockStructure="1"/>
  <bookViews>
    <workbookView xWindow="-120" yWindow="-120" windowWidth="29040" windowHeight="15840" xr2:uid="{07D85583-6903-4529-A7E7-CA25D97FAFD5}"/>
  </bookViews>
  <sheets>
    <sheet name="Anleitung" sheetId="10" r:id="rId1"/>
    <sheet name="Übersicht" sheetId="9" r:id="rId2"/>
    <sheet name="Unternehmen" sheetId="15" r:id="rId3"/>
    <sheet name="Verbrauch" sheetId="1" r:id="rId4"/>
    <sheet name="Hauptverbraucher" sheetId="8" r:id="rId5"/>
    <sheet name="Kennzahlen" sheetId="11" r:id="rId6"/>
    <sheet name="Abwärme" sheetId="6" r:id="rId7"/>
    <sheet name="Maßnahmen" sheetId="13" r:id="rId8"/>
    <sheet name="Mitwirkende" sheetId="17" r:id="rId9"/>
    <sheet name="DropDown" sheetId="2" state="hidden" r:id="rId10"/>
    <sheet name="Nebenrechnungen" sheetId="14" state="hidden" r:id="rId11"/>
    <sheet name="Umrechnungsfaktoren" sheetId="18" r:id="rId12"/>
    <sheet name="Notizen" sheetId="19" r:id="rId13"/>
  </sheets>
  <definedNames>
    <definedName name="DD_AbwN">DropDown!$Y$4:$Y$7</definedName>
    <definedName name="DD_AbwNutzung">DropDown!$AC$4:$AC$9</definedName>
    <definedName name="DD_EAvsMS">DropDown!$I$4:$I$6</definedName>
    <definedName name="DD_Einheiten">DropDown!$AA$4:$AA$9</definedName>
    <definedName name="DD_ET">DropDown!$K$4:$K$12</definedName>
    <definedName name="DD_FzgKat">DropDown!$W$4:$W$14</definedName>
    <definedName name="DD_GebKat">DropDown!$O$4:$O$15</definedName>
    <definedName name="DD_MNStat">DropDown!$U$4:$U$5</definedName>
    <definedName name="DD_NKat">DropDown!$M$4:$M$26</definedName>
    <definedName name="DD_ÖCPA">DropDown!$S$4:$S$43</definedName>
    <definedName name="DD_ÖNACE">DropDown!$E$4:$E$91</definedName>
    <definedName name="DD_RegTyp">DropDown!$G$4:$G$8</definedName>
    <definedName name="_xlnm.Print_Area" localSheetId="6">Abwärme!$A$1:$F$14</definedName>
    <definedName name="_xlnm.Print_Area" localSheetId="0">Anleitung!$A$1:$A$21</definedName>
    <definedName name="_xlnm.Print_Area" localSheetId="4">Hauptverbraucher!$A$1:$D$32</definedName>
    <definedName name="_xlnm.Print_Area" localSheetId="5">Kennzahlen!$A$2:$N$15,Kennzahlen!$A$26:$H$39,Kennzahlen!$A$50:$G$63</definedName>
    <definedName name="_xlnm.Print_Area" localSheetId="7">Maßnahmen!$A$1:$I$15</definedName>
    <definedName name="_xlnm.Print_Area" localSheetId="8">Mitwirkende!$A$1:$D$14</definedName>
    <definedName name="_xlnm.Print_Area" localSheetId="1">Übersicht!$A$1:$G$71</definedName>
    <definedName name="_xlnm.Print_Area" localSheetId="2">Unternehmen!$A$1:$G$35</definedName>
    <definedName name="_xlnm.Print_Area" localSheetId="3">Verbrauch!$A$1:$D$32</definedName>
    <definedName name="_xlnm.Print_Titles" localSheetId="6">Abwärme!$2:$2</definedName>
    <definedName name="_xlnm.Print_Titles" localSheetId="4">Hauptverbraucher!$2:$2</definedName>
    <definedName name="_xlnm.Print_Titles" localSheetId="7">Maßnahmen!$2:$2</definedName>
    <definedName name="_xlnm.Print_Titles" localSheetId="8">Mitwirkende!$2:$2</definedName>
    <definedName name="_xlnm.Print_Titles" localSheetId="2">Unternehmen!$23:$23</definedName>
    <definedName name="Jahr">Verbrauch!$B$8</definedName>
    <definedName name="Label_G">Nebenrechnungen!$A$4</definedName>
    <definedName name="Label_P">Nebenrechnungen!$A$5</definedName>
    <definedName name="Label_T">Nebenrechnungen!$A$6</definedName>
    <definedName name="P_wEVBHEVG">Nebenrechnungen!$C$4</definedName>
    <definedName name="P_wEVBHEVP">Nebenrechnungen!$C$5</definedName>
    <definedName name="P_wEVBHEVT">Nebenrechnungen!$C$6</definedName>
    <definedName name="P_wEVBLKZG">Nebenrechnungen!$D$4</definedName>
    <definedName name="P_wEVBLKZP">Nebenrechnungen!$D$5</definedName>
    <definedName name="P_wEVBLKZT">Nebenrechnungen!$D$6</definedName>
    <definedName name="P_wEVBMNG">Nebenrechnungen!$E$4</definedName>
    <definedName name="P_wEVBMNP">Nebenrechnungen!$E$5</definedName>
    <definedName name="P_wEVBMNT">Nebenrechnungen!$E$6</definedName>
    <definedName name="Tab_HEV_End">Tab_HEV[[#Totals],[Bezeichnung]]</definedName>
    <definedName name="Ü_Abw">Übersicht!$A$33</definedName>
    <definedName name="Ü_EEMN">Übersicht!$A$54</definedName>
    <definedName name="Ü_EV">Übersicht!$A$9</definedName>
    <definedName name="Ü_HEV">Übersicht!$A$25</definedName>
    <definedName name="Ü_LKZ">Übersicht!$A$40</definedName>
    <definedName name="Ü_LKZG">Übersicht!$A$41</definedName>
    <definedName name="Ü_LKZGTab">Kennzahlen!$A$2</definedName>
    <definedName name="Ü_LKZP">Übersicht!$A$46</definedName>
    <definedName name="Ü_LKZPTab">Kennzahlen!$A$26</definedName>
    <definedName name="Ü_LKZT">Übersicht!$A$50</definedName>
    <definedName name="Ü_LKZTTab">Kennzahlen!$A$50</definedName>
    <definedName name="Ü_Pers">Übersicht!$A$68</definedName>
    <definedName name="Ü_Unt">Übersicht!$A$6</definedName>
    <definedName name="wEVB_G">Nebenrechnungen!$B$4</definedName>
    <definedName name="wEVB_P">Nebenrechnungen!$B$5</definedName>
    <definedName name="wEVB_T">Nebenrechnungen!$B$6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7" i="14" l="1"/>
  <c r="E47" i="14"/>
  <c r="F46" i="14"/>
  <c r="E46" i="14"/>
  <c r="F45" i="14"/>
  <c r="E45" i="14"/>
  <c r="F44" i="14"/>
  <c r="E44" i="14"/>
  <c r="F43" i="14"/>
  <c r="E43" i="14"/>
  <c r="F42" i="14"/>
  <c r="A9" i="9" l="1"/>
  <c r="H61" i="14"/>
  <c r="I5" i="11"/>
  <c r="H7" i="13"/>
  <c r="A16" i="17"/>
  <c r="A42" i="11"/>
  <c r="A18" i="11"/>
  <c r="D70" i="9"/>
  <c r="A71" i="9" s="1"/>
  <c r="D69" i="9"/>
  <c r="C64" i="9"/>
  <c r="C61" i="9"/>
  <c r="C60" i="9"/>
  <c r="C56" i="9"/>
  <c r="C57" i="9"/>
  <c r="F52" i="11"/>
  <c r="G28" i="11"/>
  <c r="M8" i="11"/>
  <c r="K8" i="11"/>
  <c r="I8" i="11"/>
  <c r="I7" i="11"/>
  <c r="D52" i="9"/>
  <c r="D51" i="9"/>
  <c r="D48" i="9"/>
  <c r="D47" i="9"/>
  <c r="G63" i="14"/>
  <c r="D42" i="9"/>
  <c r="I9" i="11"/>
  <c r="K9" i="11"/>
  <c r="M9" i="11"/>
  <c r="H63" i="14"/>
  <c r="D44" i="9" s="1"/>
  <c r="F63" i="14"/>
  <c r="E63" i="14"/>
  <c r="D63" i="14"/>
  <c r="F50" i="14"/>
  <c r="E50" i="14"/>
  <c r="D50" i="14"/>
  <c r="C51" i="14" a="1"/>
  <c r="C51" i="14" s="1"/>
  <c r="H51" i="14" s="1"/>
  <c r="G30" i="11"/>
  <c r="G32" i="11"/>
  <c r="G33" i="11"/>
  <c r="G34" i="11"/>
  <c r="G35" i="11"/>
  <c r="G36" i="11"/>
  <c r="G37" i="11"/>
  <c r="G38" i="11"/>
  <c r="D9" i="14" a="1"/>
  <c r="D9" i="14" s="1"/>
  <c r="O16" i="14" a="1"/>
  <c r="O16" i="14" s="1"/>
  <c r="C16" i="14" s="1"/>
  <c r="D15" i="14" a="1"/>
  <c r="D15" i="14" s="1"/>
  <c r="F7" i="9"/>
  <c r="B35" i="9" a="1"/>
  <c r="B35" i="9" s="1"/>
  <c r="D35" i="9" s="1"/>
  <c r="E5" i="2"/>
  <c r="E6" i="2"/>
  <c r="E7" i="2"/>
  <c r="E8" i="2"/>
  <c r="E9" i="2"/>
  <c r="E10" i="2"/>
  <c r="E11" i="2"/>
  <c r="E12" i="2"/>
  <c r="E13" i="2"/>
  <c r="E14" i="2"/>
  <c r="E15" i="2"/>
  <c r="E16" i="2"/>
  <c r="E17" i="2"/>
  <c r="E18" i="2"/>
  <c r="E19" i="2"/>
  <c r="E20" i="2"/>
  <c r="E21" i="2"/>
  <c r="E22" i="2"/>
  <c r="E23" i="2"/>
  <c r="E24" i="2"/>
  <c r="E25" i="2"/>
  <c r="E26" i="2"/>
  <c r="E27" i="2"/>
  <c r="E28" i="2"/>
  <c r="E29" i="2"/>
  <c r="E30" i="2"/>
  <c r="E31" i="2"/>
  <c r="E32" i="2"/>
  <c r="E33" i="2"/>
  <c r="E34" i="2"/>
  <c r="E35" i="2"/>
  <c r="E36" i="2"/>
  <c r="E37" i="2"/>
  <c r="E38" i="2"/>
  <c r="E39" i="2"/>
  <c r="E40" i="2"/>
  <c r="E41" i="2"/>
  <c r="E42" i="2"/>
  <c r="E43" i="2"/>
  <c r="E44" i="2"/>
  <c r="E45" i="2"/>
  <c r="E46" i="2"/>
  <c r="E47" i="2"/>
  <c r="E48" i="2"/>
  <c r="E49" i="2"/>
  <c r="E50" i="2"/>
  <c r="E51" i="2"/>
  <c r="E52" i="2"/>
  <c r="E53" i="2"/>
  <c r="E54" i="2"/>
  <c r="E55" i="2"/>
  <c r="E56" i="2"/>
  <c r="E57" i="2"/>
  <c r="E58" i="2"/>
  <c r="E59" i="2"/>
  <c r="E60" i="2"/>
  <c r="E61" i="2"/>
  <c r="E62" i="2"/>
  <c r="E63" i="2"/>
  <c r="E64" i="2"/>
  <c r="E65" i="2"/>
  <c r="E66" i="2"/>
  <c r="E67" i="2"/>
  <c r="E68" i="2"/>
  <c r="E69" i="2"/>
  <c r="E70" i="2"/>
  <c r="E71" i="2"/>
  <c r="E72" i="2"/>
  <c r="E73" i="2"/>
  <c r="E74" i="2"/>
  <c r="E75" i="2"/>
  <c r="E76" i="2"/>
  <c r="E77" i="2"/>
  <c r="E78" i="2"/>
  <c r="E79" i="2"/>
  <c r="E80" i="2"/>
  <c r="E81" i="2"/>
  <c r="E82" i="2"/>
  <c r="E83" i="2"/>
  <c r="E84" i="2"/>
  <c r="E85" i="2"/>
  <c r="E86" i="2"/>
  <c r="E87" i="2"/>
  <c r="E88" i="2"/>
  <c r="E89" i="2"/>
  <c r="E90" i="2"/>
  <c r="E91" i="2"/>
  <c r="E4" i="2"/>
  <c r="F61" i="11"/>
  <c r="F57" i="11"/>
  <c r="F58" i="11"/>
  <c r="F59" i="11"/>
  <c r="F60" i="11"/>
  <c r="I13" i="11"/>
  <c r="K13" i="11"/>
  <c r="M13" i="11"/>
  <c r="K7" i="11"/>
  <c r="M7" i="11"/>
  <c r="I10" i="11"/>
  <c r="K10" i="11"/>
  <c r="M10" i="11"/>
  <c r="I11" i="11"/>
  <c r="K11" i="11"/>
  <c r="M11" i="11"/>
  <c r="I12" i="11"/>
  <c r="K12" i="11"/>
  <c r="M12" i="11"/>
  <c r="I14" i="11"/>
  <c r="K14" i="11"/>
  <c r="M14" i="11"/>
  <c r="M4" i="11"/>
  <c r="M5" i="11"/>
  <c r="M6" i="11"/>
  <c r="K4" i="11"/>
  <c r="K5" i="11"/>
  <c r="K6" i="11"/>
  <c r="I4" i="11"/>
  <c r="I6" i="11"/>
  <c r="F62" i="11"/>
  <c r="S5" i="2"/>
  <c r="S6" i="2"/>
  <c r="S7" i="2"/>
  <c r="S8" i="2"/>
  <c r="S9" i="2"/>
  <c r="S10" i="2"/>
  <c r="S11" i="2"/>
  <c r="S12" i="2"/>
  <c r="S13" i="2"/>
  <c r="S14" i="2"/>
  <c r="S15" i="2"/>
  <c r="S16" i="2"/>
  <c r="S17" i="2"/>
  <c r="S18" i="2"/>
  <c r="S19" i="2"/>
  <c r="S20" i="2"/>
  <c r="S21" i="2"/>
  <c r="S22" i="2"/>
  <c r="S23" i="2"/>
  <c r="S24" i="2"/>
  <c r="S25" i="2"/>
  <c r="S26" i="2"/>
  <c r="S27" i="2"/>
  <c r="S28" i="2"/>
  <c r="S29" i="2"/>
  <c r="S30" i="2"/>
  <c r="S31" i="2"/>
  <c r="S32" i="2"/>
  <c r="S33" i="2"/>
  <c r="S34" i="2"/>
  <c r="S35" i="2"/>
  <c r="S36" i="2"/>
  <c r="S37" i="2"/>
  <c r="S38" i="2"/>
  <c r="S39" i="2"/>
  <c r="S40" i="2"/>
  <c r="S41" i="2"/>
  <c r="S42" i="2"/>
  <c r="S43" i="2"/>
  <c r="S4" i="2"/>
  <c r="C21" i="1"/>
  <c r="D35" i="14" l="1"/>
  <c r="A66" i="11"/>
  <c r="F56" i="11"/>
  <c r="F7" i="13"/>
  <c r="L22" i="14"/>
  <c r="F24" i="14"/>
  <c r="K25" i="14"/>
  <c r="E27" i="14"/>
  <c r="I21" i="14"/>
  <c r="H28" i="14"/>
  <c r="K29" i="14"/>
  <c r="E31" i="14"/>
  <c r="F16" i="14"/>
  <c r="H32" i="14"/>
  <c r="I17" i="14"/>
  <c r="K33" i="14"/>
  <c r="L18" i="14"/>
  <c r="E35" i="14"/>
  <c r="F20" i="14"/>
  <c r="H36" i="14"/>
  <c r="K37" i="14"/>
  <c r="I25" i="14"/>
  <c r="G16" i="14"/>
  <c r="J17" i="14"/>
  <c r="D19" i="14"/>
  <c r="G20" i="14"/>
  <c r="J21" i="14"/>
  <c r="D23" i="14"/>
  <c r="G24" i="14"/>
  <c r="L25" i="14"/>
  <c r="F27" i="14"/>
  <c r="I28" i="14"/>
  <c r="L29" i="14"/>
  <c r="F31" i="14"/>
  <c r="I32" i="14"/>
  <c r="L33" i="14"/>
  <c r="F35" i="14"/>
  <c r="I36" i="14"/>
  <c r="L37" i="14"/>
  <c r="H16" i="14"/>
  <c r="K17" i="14"/>
  <c r="E19" i="14"/>
  <c r="H20" i="14"/>
  <c r="K21" i="14"/>
  <c r="E23" i="14"/>
  <c r="H24" i="14"/>
  <c r="D26" i="14"/>
  <c r="G27" i="14"/>
  <c r="J28" i="14"/>
  <c r="D30" i="14"/>
  <c r="G31" i="14"/>
  <c r="J32" i="14"/>
  <c r="D34" i="14"/>
  <c r="G35" i="14"/>
  <c r="J36" i="14"/>
  <c r="D38" i="14"/>
  <c r="I16" i="14"/>
  <c r="L17" i="14"/>
  <c r="F19" i="14"/>
  <c r="I20" i="14"/>
  <c r="L21" i="14"/>
  <c r="F23" i="14"/>
  <c r="I24" i="14"/>
  <c r="E26" i="14"/>
  <c r="H27" i="14"/>
  <c r="K28" i="14"/>
  <c r="E30" i="14"/>
  <c r="H31" i="14"/>
  <c r="K32" i="14"/>
  <c r="E34" i="14"/>
  <c r="H35" i="14"/>
  <c r="K36" i="14"/>
  <c r="E38" i="14"/>
  <c r="J16" i="14"/>
  <c r="D18" i="14"/>
  <c r="G19" i="14"/>
  <c r="J20" i="14"/>
  <c r="D22" i="14"/>
  <c r="G23" i="14"/>
  <c r="J24" i="14"/>
  <c r="F26" i="14"/>
  <c r="I27" i="14"/>
  <c r="L28" i="14"/>
  <c r="F30" i="14"/>
  <c r="I31" i="14"/>
  <c r="L32" i="14"/>
  <c r="F34" i="14"/>
  <c r="I35" i="14"/>
  <c r="L36" i="14"/>
  <c r="F38" i="14"/>
  <c r="K16" i="14"/>
  <c r="E18" i="14"/>
  <c r="H19" i="14"/>
  <c r="K20" i="14"/>
  <c r="E22" i="14"/>
  <c r="H23" i="14"/>
  <c r="K24" i="14"/>
  <c r="G26" i="14"/>
  <c r="J27" i="14"/>
  <c r="D29" i="14"/>
  <c r="G30" i="14"/>
  <c r="J31" i="14"/>
  <c r="D33" i="14"/>
  <c r="G34" i="14"/>
  <c r="J35" i="14"/>
  <c r="D37" i="14"/>
  <c r="G38" i="14"/>
  <c r="L16" i="14"/>
  <c r="F18" i="14"/>
  <c r="I19" i="14"/>
  <c r="L20" i="14"/>
  <c r="F22" i="14"/>
  <c r="I23" i="14"/>
  <c r="L24" i="14"/>
  <c r="H26" i="14"/>
  <c r="K27" i="14"/>
  <c r="E29" i="14"/>
  <c r="H30" i="14"/>
  <c r="K31" i="14"/>
  <c r="E33" i="14"/>
  <c r="H34" i="14"/>
  <c r="K35" i="14"/>
  <c r="E37" i="14"/>
  <c r="H38" i="14"/>
  <c r="D17" i="14"/>
  <c r="G18" i="14"/>
  <c r="J19" i="14"/>
  <c r="D21" i="14"/>
  <c r="G22" i="14"/>
  <c r="J23" i="14"/>
  <c r="D25" i="14"/>
  <c r="I26" i="14"/>
  <c r="L27" i="14"/>
  <c r="F29" i="14"/>
  <c r="I30" i="14"/>
  <c r="L31" i="14"/>
  <c r="F33" i="14"/>
  <c r="I34" i="14"/>
  <c r="L35" i="14"/>
  <c r="F37" i="14"/>
  <c r="I38" i="14"/>
  <c r="E17" i="14"/>
  <c r="H18" i="14"/>
  <c r="K19" i="14"/>
  <c r="E21" i="14"/>
  <c r="H22" i="14"/>
  <c r="K23" i="14"/>
  <c r="E25" i="14"/>
  <c r="J26" i="14"/>
  <c r="D28" i="14"/>
  <c r="G29" i="14"/>
  <c r="J30" i="14"/>
  <c r="D32" i="14"/>
  <c r="G33" i="14"/>
  <c r="J34" i="14"/>
  <c r="D36" i="14"/>
  <c r="G37" i="14"/>
  <c r="J38" i="14"/>
  <c r="F17" i="14"/>
  <c r="I18" i="14"/>
  <c r="L19" i="14"/>
  <c r="F21" i="14"/>
  <c r="I22" i="14"/>
  <c r="L23" i="14"/>
  <c r="G25" i="14"/>
  <c r="K26" i="14"/>
  <c r="E28" i="14"/>
  <c r="H29" i="14"/>
  <c r="K30" i="14"/>
  <c r="E32" i="14"/>
  <c r="H33" i="14"/>
  <c r="K34" i="14"/>
  <c r="E36" i="14"/>
  <c r="H37" i="14"/>
  <c r="K38" i="14"/>
  <c r="G17" i="14"/>
  <c r="J18" i="14"/>
  <c r="D20" i="14"/>
  <c r="G21" i="14"/>
  <c r="J22" i="14"/>
  <c r="D24" i="14"/>
  <c r="H25" i="14"/>
  <c r="L26" i="14"/>
  <c r="F28" i="14"/>
  <c r="I29" i="14"/>
  <c r="L30" i="14"/>
  <c r="F32" i="14"/>
  <c r="I33" i="14"/>
  <c r="L34" i="14"/>
  <c r="F36" i="14"/>
  <c r="I37" i="14"/>
  <c r="L38" i="14"/>
  <c r="E16" i="14"/>
  <c r="H17" i="14"/>
  <c r="K18" i="14"/>
  <c r="E20" i="14"/>
  <c r="H21" i="14"/>
  <c r="K22" i="14"/>
  <c r="E24" i="14"/>
  <c r="J25" i="14"/>
  <c r="D27" i="14"/>
  <c r="G28" i="14"/>
  <c r="J29" i="14"/>
  <c r="D31" i="14"/>
  <c r="G32" i="14"/>
  <c r="J33" i="14"/>
  <c r="G36" i="14"/>
  <c r="J37" i="14"/>
  <c r="F53" i="11"/>
  <c r="F55" i="11"/>
  <c r="F54" i="11"/>
  <c r="G31" i="11"/>
  <c r="G29" i="11"/>
  <c r="F57" i="14"/>
  <c r="H56" i="14"/>
  <c r="H55" i="14"/>
  <c r="F62" i="14"/>
  <c r="D52" i="14"/>
  <c r="E53" i="14"/>
  <c r="D51" i="14"/>
  <c r="H54" i="14"/>
  <c r="D58" i="14"/>
  <c r="E52" i="14"/>
  <c r="G57" i="14"/>
  <c r="I57" i="14" s="1"/>
  <c r="D56" i="14"/>
  <c r="F55" i="14"/>
  <c r="G56" i="14"/>
  <c r="I56" i="14" s="1"/>
  <c r="D54" i="14"/>
  <c r="F53" i="14"/>
  <c r="G55" i="14"/>
  <c r="I55" i="14" s="1"/>
  <c r="D53" i="14"/>
  <c r="F52" i="14"/>
  <c r="G54" i="14"/>
  <c r="I54" i="14" s="1"/>
  <c r="E56" i="14"/>
  <c r="H59" i="14"/>
  <c r="E51" i="14"/>
  <c r="E58" i="14"/>
  <c r="E54" i="14"/>
  <c r="H57" i="14"/>
  <c r="D62" i="14"/>
  <c r="E62" i="14"/>
  <c r="F61" i="14"/>
  <c r="H53" i="14"/>
  <c r="G53" i="14"/>
  <c r="I53" i="14" s="1"/>
  <c r="D61" i="14"/>
  <c r="E61" i="14"/>
  <c r="F60" i="14"/>
  <c r="F51" i="14"/>
  <c r="H52" i="14"/>
  <c r="G52" i="14"/>
  <c r="I52" i="14" s="1"/>
  <c r="G51" i="14"/>
  <c r="D60" i="14"/>
  <c r="E60" i="14"/>
  <c r="F59" i="14"/>
  <c r="D59" i="14"/>
  <c r="E59" i="14"/>
  <c r="F58" i="14"/>
  <c r="H62" i="14"/>
  <c r="G62" i="14"/>
  <c r="I62" i="14" s="1"/>
  <c r="G61" i="14"/>
  <c r="D57" i="14"/>
  <c r="E57" i="14"/>
  <c r="F56" i="14"/>
  <c r="H60" i="14"/>
  <c r="G60" i="14"/>
  <c r="I60" i="14" s="1"/>
  <c r="G59" i="14"/>
  <c r="D55" i="14"/>
  <c r="E55" i="14"/>
  <c r="F54" i="14"/>
  <c r="H58" i="14"/>
  <c r="G58" i="14"/>
  <c r="I58" i="14" s="1"/>
  <c r="C27" i="14"/>
  <c r="C38" i="14"/>
  <c r="C26" i="14"/>
  <c r="C37" i="14"/>
  <c r="C25" i="14"/>
  <c r="C36" i="14"/>
  <c r="C24" i="14"/>
  <c r="C35" i="14"/>
  <c r="C23" i="14"/>
  <c r="C28" i="14"/>
  <c r="C34" i="14"/>
  <c r="C22" i="14"/>
  <c r="C33" i="14"/>
  <c r="C21" i="14"/>
  <c r="C32" i="14"/>
  <c r="C20" i="14"/>
  <c r="C31" i="14"/>
  <c r="C19" i="14"/>
  <c r="C30" i="14"/>
  <c r="C18" i="14"/>
  <c r="C29" i="14"/>
  <c r="C17" i="14"/>
  <c r="C35" i="9" a="1"/>
  <c r="C35" i="9" s="1"/>
  <c r="E35" i="9" s="1"/>
  <c r="C37" i="9" a="1"/>
  <c r="C37" i="9" s="1"/>
  <c r="C36" i="9" a="1"/>
  <c r="C36" i="9" s="1"/>
  <c r="D38" i="9"/>
  <c r="D37" i="9"/>
  <c r="D36" i="9"/>
  <c r="C38" i="9" a="1"/>
  <c r="C38" i="9" s="1"/>
  <c r="D16" i="14"/>
  <c r="C65" i="9" l="1"/>
  <c r="A20" i="13"/>
  <c r="A19" i="13"/>
  <c r="A18" i="13"/>
  <c r="A35" i="8"/>
  <c r="A36" i="8"/>
  <c r="I59" i="14"/>
  <c r="I61" i="14"/>
  <c r="I51" i="14"/>
  <c r="M21" i="14"/>
  <c r="N21" i="14" s="1"/>
  <c r="M38" i="14"/>
  <c r="N38" i="14" s="1"/>
  <c r="M30" i="14"/>
  <c r="M19" i="14"/>
  <c r="M36" i="14"/>
  <c r="M35" i="14"/>
  <c r="J39" i="14"/>
  <c r="G39" i="14"/>
  <c r="H39" i="14"/>
  <c r="M37" i="14"/>
  <c r="M29" i="14"/>
  <c r="M31" i="14"/>
  <c r="N31" i="14" s="1"/>
  <c r="M23" i="14"/>
  <c r="N23" i="14" s="1"/>
  <c r="M17" i="14"/>
  <c r="M18" i="14"/>
  <c r="I39" i="14"/>
  <c r="M32" i="14"/>
  <c r="M24" i="14"/>
  <c r="K39" i="14"/>
  <c r="E39" i="14"/>
  <c r="M26" i="14"/>
  <c r="N26" i="14" s="1"/>
  <c r="M34" i="14"/>
  <c r="M20" i="14"/>
  <c r="M28" i="14"/>
  <c r="M33" i="14"/>
  <c r="M22" i="14"/>
  <c r="M27" i="14"/>
  <c r="D39" i="14"/>
  <c r="M16" i="14"/>
  <c r="L39" i="14"/>
  <c r="E36" i="9"/>
  <c r="E37" i="9"/>
  <c r="E38" i="9"/>
  <c r="N34" i="14" l="1"/>
  <c r="N32" i="14"/>
  <c r="N36" i="14"/>
  <c r="D43" i="9"/>
  <c r="N18" i="14"/>
  <c r="B21" i="1" l="1"/>
  <c r="D10" i="14" l="1" a="1"/>
  <c r="D21" i="1"/>
  <c r="A22" i="1" s="1"/>
  <c r="B6" i="14"/>
  <c r="D6" i="14" s="1"/>
  <c r="A65" i="11" s="1"/>
  <c r="D28" i="1"/>
  <c r="F25" i="14"/>
  <c r="N11" i="14" l="1" a="1"/>
  <c r="N11" i="14" s="1"/>
  <c r="B4" i="14"/>
  <c r="E4" i="14" s="1"/>
  <c r="A31" i="1"/>
  <c r="B5" i="14"/>
  <c r="A49" i="9" s="1"/>
  <c r="N12" i="14" a="1"/>
  <c r="N12" i="14" s="1"/>
  <c r="N10" i="14" a="1"/>
  <c r="N10" i="14" s="1"/>
  <c r="M25" i="14"/>
  <c r="F39" i="14"/>
  <c r="C6" i="14"/>
  <c r="G20" i="9"/>
  <c r="D10" i="14"/>
  <c r="D11" i="14" s="1"/>
  <c r="D12" i="14" s="1"/>
  <c r="E6" i="14"/>
  <c r="A66" i="9" s="1"/>
  <c r="A53" i="9"/>
  <c r="D32" i="8"/>
  <c r="A58" i="9" l="1"/>
  <c r="C4" i="14"/>
  <c r="A45" i="9"/>
  <c r="L11" i="14"/>
  <c r="L12" i="14" s="1"/>
  <c r="E11" i="14"/>
  <c r="E12" i="14" s="1"/>
  <c r="F20" i="9"/>
  <c r="I11" i="14"/>
  <c r="I12" i="14" s="1"/>
  <c r="H11" i="14"/>
  <c r="H12" i="14" s="1"/>
  <c r="F11" i="14"/>
  <c r="F12" i="14" s="1"/>
  <c r="E5" i="14"/>
  <c r="A62" i="9" s="1"/>
  <c r="D5" i="14"/>
  <c r="A41" i="11" s="1"/>
  <c r="C5" i="14"/>
  <c r="D4" i="14"/>
  <c r="A17" i="11" s="1"/>
  <c r="E20" i="9"/>
  <c r="K11" i="14"/>
  <c r="K12" i="14" s="1"/>
  <c r="M39" i="14"/>
  <c r="J11" i="14"/>
  <c r="J12" i="14" s="1"/>
  <c r="G11" i="14"/>
  <c r="G12" i="14" s="1"/>
  <c r="N17" i="14"/>
  <c r="N19" i="14"/>
  <c r="N35" i="14"/>
  <c r="N28" i="14"/>
  <c r="N16" i="14"/>
  <c r="N27" i="14"/>
  <c r="N22" i="14"/>
  <c r="N20" i="14"/>
  <c r="N30" i="14"/>
  <c r="N37" i="14"/>
  <c r="N33" i="14"/>
  <c r="N29" i="14"/>
  <c r="N24" i="14"/>
  <c r="N25" i="14"/>
  <c r="A17" i="13" l="1"/>
  <c r="A32" i="9"/>
  <c r="A34" i="8"/>
  <c r="B44" i="14"/>
  <c r="B47" i="14"/>
  <c r="B45" i="14"/>
  <c r="B46" i="14"/>
  <c r="B43" i="14"/>
  <c r="D43" i="14" l="1" a="1"/>
  <c r="D43" i="14" s="1"/>
  <c r="G43" i="14" a="1"/>
  <c r="G43" i="14" s="1"/>
  <c r="C43" i="14" a="1"/>
  <c r="C43" i="14" s="1"/>
  <c r="B27" i="9" s="1"/>
  <c r="D46" i="14" a="1"/>
  <c r="D46" i="14" s="1"/>
  <c r="C46" i="14" a="1"/>
  <c r="C46" i="14" s="1"/>
  <c r="B30" i="9" s="1"/>
  <c r="G46" i="14" a="1"/>
  <c r="G46" i="14" s="1"/>
  <c r="C45" i="14" a="1"/>
  <c r="C45" i="14" s="1"/>
  <c r="B29" i="9" s="1"/>
  <c r="G45" i="14" a="1"/>
  <c r="G45" i="14" s="1"/>
  <c r="D45" i="14" a="1"/>
  <c r="D45" i="14" s="1"/>
  <c r="C47" i="14" a="1"/>
  <c r="C47" i="14" s="1"/>
  <c r="B31" i="9" s="1"/>
  <c r="D47" i="14" a="1"/>
  <c r="D47" i="14" s="1"/>
  <c r="G47" i="14" a="1"/>
  <c r="G47" i="14" s="1"/>
  <c r="D44" i="14" a="1"/>
  <c r="D44" i="14" s="1"/>
  <c r="G44" i="14" a="1"/>
  <c r="G44" i="14" s="1"/>
  <c r="C44" i="14" a="1"/>
  <c r="C44" i="14" s="1"/>
  <c r="B28" i="9" s="1"/>
  <c r="H45" i="14" l="1"/>
  <c r="C29" i="9"/>
  <c r="C27" i="9"/>
  <c r="H43" i="14"/>
  <c r="E29" i="9"/>
  <c r="D29" i="9"/>
  <c r="D30" i="9"/>
  <c r="E30" i="9"/>
  <c r="E28" i="9"/>
  <c r="D28" i="9"/>
  <c r="C30" i="9"/>
  <c r="H46" i="14"/>
  <c r="H44" i="14"/>
  <c r="C28" i="9"/>
  <c r="D31" i="9"/>
  <c r="E31" i="9"/>
  <c r="D27" i="9"/>
  <c r="E27" i="9"/>
  <c r="C31" i="9"/>
  <c r="H47" i="14"/>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<sst xmlns="http://schemas.openxmlformats.org/spreadsheetml/2006/main" count="992" uniqueCount="688">
  <si>
    <t>Energieverbrauch</t>
  </si>
  <si>
    <t>Jahresenergieverbrauch nach Energieträger</t>
  </si>
  <si>
    <t>Elektrische Energie</t>
  </si>
  <si>
    <t>Kohle</t>
  </si>
  <si>
    <t>Sonstige Erneuerbare</t>
  </si>
  <si>
    <t>Wasserstoff</t>
  </si>
  <si>
    <t xml:space="preserve">Sonstige </t>
  </si>
  <si>
    <t>Thermische Energie</t>
  </si>
  <si>
    <t>Gas</t>
  </si>
  <si>
    <t>Biogene</t>
  </si>
  <si>
    <t>Öl</t>
  </si>
  <si>
    <t>Energieträger</t>
  </si>
  <si>
    <t>Gebäude</t>
  </si>
  <si>
    <t>Nutzungskategorie</t>
  </si>
  <si>
    <t>Transport</t>
  </si>
  <si>
    <t>Energieleistungskennzahlen</t>
  </si>
  <si>
    <t>Gebäudekategorie</t>
  </si>
  <si>
    <t>Bürobegäude</t>
  </si>
  <si>
    <t>Bildungseinrichtung</t>
  </si>
  <si>
    <t>Krankenhaus</t>
  </si>
  <si>
    <t>Heim</t>
  </si>
  <si>
    <t>Beherbergungsbetrieb</t>
  </si>
  <si>
    <t>Gaststätte</t>
  </si>
  <si>
    <t>Veranstaltungsstätte</t>
  </si>
  <si>
    <t>Mehrzweckgebäude</t>
  </si>
  <si>
    <t>Verkaufsstätte</t>
  </si>
  <si>
    <t>Wohngebäude</t>
  </si>
  <si>
    <t>nicht konditioniertes Gebäude</t>
  </si>
  <si>
    <t>sonstiges konditioniertes Gebäude</t>
  </si>
  <si>
    <t>Personenkraftwagen</t>
  </si>
  <si>
    <t>Kleinkraftfahrzeuge</t>
  </si>
  <si>
    <t>leichte Nutzfahrzeuge</t>
  </si>
  <si>
    <t>schwere Nutzfahrzeuge</t>
  </si>
  <si>
    <t>landwirtschaftliche Fahrzeuge</t>
  </si>
  <si>
    <t>selbstfahrende Arbeitsmaschinen</t>
  </si>
  <si>
    <t>Schienenfahrzeuge</t>
  </si>
  <si>
    <t>stationäre Beförderungsmittel</t>
  </si>
  <si>
    <t>Luftfahrzeuge</t>
  </si>
  <si>
    <t>Wasserfahrzeuge</t>
  </si>
  <si>
    <t>sonstige Kraftfahrzeuge</t>
  </si>
  <si>
    <t>Fahrzeugklasse</t>
  </si>
  <si>
    <t>Temperaturniveau</t>
  </si>
  <si>
    <t>PLZ</t>
  </si>
  <si>
    <t>Unternehmensbezeichnung</t>
  </si>
  <si>
    <t>Vorname</t>
  </si>
  <si>
    <t>Nachname</t>
  </si>
  <si>
    <t>Managementsystem</t>
  </si>
  <si>
    <t>Energieaudit</t>
  </si>
  <si>
    <t>Ende der Tabelle</t>
  </si>
  <si>
    <t>Gebäude | Raumwärme</t>
  </si>
  <si>
    <t>Gebäude | Lüftung</t>
  </si>
  <si>
    <t>Gebäude | Raumklimatisierung</t>
  </si>
  <si>
    <t>Gebäude | Beleuchtung</t>
  </si>
  <si>
    <t>Gebäude | Küchengeräte</t>
  </si>
  <si>
    <t>Gebäude | Informationstechnik</t>
  </si>
  <si>
    <t>Gebäude | sonstige Dienstleistungen</t>
  </si>
  <si>
    <t>Gebäude | sonstige Nutzungen</t>
  </si>
  <si>
    <t>Prozesse | Prozesswärme &gt; 200  °C</t>
  </si>
  <si>
    <t>Prozesse | Prozesswärme 0 - 200  °C</t>
  </si>
  <si>
    <t>Prozesse | Prozesskälte &lt; 0 °C</t>
  </si>
  <si>
    <t>Prozesse | mechanische Arbeit</t>
  </si>
  <si>
    <t>Prozesse | innterbetriebliche Transport</t>
  </si>
  <si>
    <t>Prozesse | Mess- Steuer- und Regeltechnik</t>
  </si>
  <si>
    <t>Prozesse | Druckluft</t>
  </si>
  <si>
    <t>Prozesse | Elektrochemie</t>
  </si>
  <si>
    <t>Prozesse | sonstige Nutzungen</t>
  </si>
  <si>
    <t>Transport | Personenverkehr (Dienstleistungen)</t>
  </si>
  <si>
    <t>Transport | Personenverkehr (Betrieb)</t>
  </si>
  <si>
    <t>Transport | Personenverkehr (Pendelverkehr)</t>
  </si>
  <si>
    <t>Transport | Güterverkehr</t>
  </si>
  <si>
    <t>Transport | sonstige Nutzungen</t>
  </si>
  <si>
    <t>Nutzungkategorien</t>
  </si>
  <si>
    <t>Ergebnis</t>
  </si>
  <si>
    <t>Zum Hinzufügen weiterer Zeilen bitte die gesamte Zeile "Ende der Tabelle" markieren und "Strg" und "+" eingeben.</t>
  </si>
  <si>
    <t>Gebäude | Warmwasser und Sanitärtechnik</t>
  </si>
  <si>
    <t>Prozesse</t>
  </si>
  <si>
    <t>Produktionsprozesse</t>
  </si>
  <si>
    <t>Hauptenergieverbrauchende Faktoren - Übersicht</t>
  </si>
  <si>
    <t>IT Alle Standorte</t>
  </si>
  <si>
    <t>Bezeichnung</t>
  </si>
  <si>
    <t>Bezeichnung Abwärmequelle</t>
  </si>
  <si>
    <t>Temperaturniveaus</t>
  </si>
  <si>
    <t>zurück zur Übersicht</t>
  </si>
  <si>
    <t>Zentrale</t>
  </si>
  <si>
    <t>Produkt nach ÖCPA-Abteilung</t>
  </si>
  <si>
    <t>Einheit</t>
  </si>
  <si>
    <t>Kennzahl letzte Erhebung</t>
  </si>
  <si>
    <t>Code</t>
  </si>
  <si>
    <t>Kurztitel</t>
  </si>
  <si>
    <t>A 01</t>
  </si>
  <si>
    <t>A 02</t>
  </si>
  <si>
    <t>A 03</t>
  </si>
  <si>
    <t>B 05</t>
  </si>
  <si>
    <t>B 06</t>
  </si>
  <si>
    <t>Erdöl und Erdgas</t>
  </si>
  <si>
    <t>B 07</t>
  </si>
  <si>
    <t>Erze</t>
  </si>
  <si>
    <t>B 08</t>
  </si>
  <si>
    <t>Steine und Erden; sonstige Bergbauerzeugnisse</t>
  </si>
  <si>
    <t>B 09</t>
  </si>
  <si>
    <t>Dienstleistungen für den Bergbau und für die Gewinnung von Steinen und Erden</t>
  </si>
  <si>
    <t>C 10</t>
  </si>
  <si>
    <t>Nahrungs- und Futtermittel</t>
  </si>
  <si>
    <t>C 11</t>
  </si>
  <si>
    <t>Getränke</t>
  </si>
  <si>
    <t>C 12</t>
  </si>
  <si>
    <t>Tabakerzeugnisse</t>
  </si>
  <si>
    <t>C 13</t>
  </si>
  <si>
    <t>Textilien</t>
  </si>
  <si>
    <t>C 14</t>
  </si>
  <si>
    <t>Bekleidung</t>
  </si>
  <si>
    <t>C 15</t>
  </si>
  <si>
    <t>Leder und Lederwaren</t>
  </si>
  <si>
    <t>C 16</t>
  </si>
  <si>
    <t>Holz sowie Holz- und Korkwaren (ohne Möbel); Flecht- und Korbwaren</t>
  </si>
  <si>
    <t>C 17</t>
  </si>
  <si>
    <t>Papier, Pappe und Waren daraus</t>
  </si>
  <si>
    <t>C 18</t>
  </si>
  <si>
    <t>C 19</t>
  </si>
  <si>
    <t>Kokereierzeugnisse und Mineralölerzeugnisse</t>
  </si>
  <si>
    <t>C 20</t>
  </si>
  <si>
    <t>Chemische Erzeugnisse</t>
  </si>
  <si>
    <t>C 21</t>
  </si>
  <si>
    <t>Pharmazeutische Erzeugnisse</t>
  </si>
  <si>
    <t>C 22</t>
  </si>
  <si>
    <t>Gummi- und Kunststoffwaren</t>
  </si>
  <si>
    <t>C 23</t>
  </si>
  <si>
    <t>Glas- und Glaswaren, Keramik, verarbeitete Steine und Erden</t>
  </si>
  <si>
    <t>C 24</t>
  </si>
  <si>
    <t>Metalle</t>
  </si>
  <si>
    <t>C 25</t>
  </si>
  <si>
    <t>Metallerzeugnisse</t>
  </si>
  <si>
    <t>C 26</t>
  </si>
  <si>
    <t>Datenverarbeitungsgeräte, elektronische und optische Erzeugnisse</t>
  </si>
  <si>
    <t>C 27</t>
  </si>
  <si>
    <t>Elektrische Ausrüstungen</t>
  </si>
  <si>
    <t>C 28</t>
  </si>
  <si>
    <t>Maschinen</t>
  </si>
  <si>
    <t>C 29</t>
  </si>
  <si>
    <t>Kraftwagen und Kraftwagenteile</t>
  </si>
  <si>
    <t>C 30</t>
  </si>
  <si>
    <t>Sonstige Fahrzeuge</t>
  </si>
  <si>
    <t>C 31</t>
  </si>
  <si>
    <t>Möbel</t>
  </si>
  <si>
    <t>C 32</t>
  </si>
  <si>
    <t>Waren a.n.g.</t>
  </si>
  <si>
    <t>C 33</t>
  </si>
  <si>
    <t>Reparatur- und Installationsarbeiten an Maschinen und Ausrüstungen</t>
  </si>
  <si>
    <t>D 35</t>
  </si>
  <si>
    <t>E 36</t>
  </si>
  <si>
    <t>E 37</t>
  </si>
  <si>
    <t>E 38</t>
  </si>
  <si>
    <t>E 39</t>
  </si>
  <si>
    <t>F 41</t>
  </si>
  <si>
    <t>Gebäude und Hochbauarbeiten</t>
  </si>
  <si>
    <t>F 42</t>
  </si>
  <si>
    <t>Tiefbauten und Tiefbauarbeiten</t>
  </si>
  <si>
    <t>F 43</t>
  </si>
  <si>
    <t>Vorbereitende Baustellenarbeiten, Bauinstallationsarbeiten und sonstige Ausbauarbeiten</t>
  </si>
  <si>
    <t>G 45</t>
  </si>
  <si>
    <t>G 46</t>
  </si>
  <si>
    <t>G 47</t>
  </si>
  <si>
    <t>H 49</t>
  </si>
  <si>
    <t>H 50</t>
  </si>
  <si>
    <t>H 51</t>
  </si>
  <si>
    <t>H 52</t>
  </si>
  <si>
    <t>H 53</t>
  </si>
  <si>
    <t>I 55</t>
  </si>
  <si>
    <t>I 56</t>
  </si>
  <si>
    <t>J 58</t>
  </si>
  <si>
    <t>J 59</t>
  </si>
  <si>
    <t>J 60</t>
  </si>
  <si>
    <t>J 61</t>
  </si>
  <si>
    <t>J 62</t>
  </si>
  <si>
    <t>J 63</t>
  </si>
  <si>
    <t>Informationsdienstleistungen</t>
  </si>
  <si>
    <t>K 64</t>
  </si>
  <si>
    <t>K 65</t>
  </si>
  <si>
    <t>K 66</t>
  </si>
  <si>
    <t>L 68</t>
  </si>
  <si>
    <t>M 69</t>
  </si>
  <si>
    <t>M 70</t>
  </si>
  <si>
    <t>M 71</t>
  </si>
  <si>
    <t>M 72</t>
  </si>
  <si>
    <t>M 73</t>
  </si>
  <si>
    <t>M 74</t>
  </si>
  <si>
    <t>M 75</t>
  </si>
  <si>
    <t>N 77</t>
  </si>
  <si>
    <t>N 78</t>
  </si>
  <si>
    <t>N 79</t>
  </si>
  <si>
    <t>N 80</t>
  </si>
  <si>
    <t>N 81</t>
  </si>
  <si>
    <t>N 82</t>
  </si>
  <si>
    <t>O 84</t>
  </si>
  <si>
    <t>P 85</t>
  </si>
  <si>
    <t>Q 86</t>
  </si>
  <si>
    <t>Q 87</t>
  </si>
  <si>
    <t>Q 88</t>
  </si>
  <si>
    <t>R 90</t>
  </si>
  <si>
    <t>R 91</t>
  </si>
  <si>
    <t>R 92</t>
  </si>
  <si>
    <t>R 93</t>
  </si>
  <si>
    <t>S 94</t>
  </si>
  <si>
    <t>S 95</t>
  </si>
  <si>
    <t>S 96</t>
  </si>
  <si>
    <t>T 97</t>
  </si>
  <si>
    <t>T 98</t>
  </si>
  <si>
    <t>U 99</t>
  </si>
  <si>
    <t>Güterklasse</t>
  </si>
  <si>
    <t>Forstwirtschaftliche Erzeugnisse</t>
  </si>
  <si>
    <t>Erzeugnisse der Landwirtschaft und Jagd</t>
  </si>
  <si>
    <t>Fische und Fischereierzeugnisse; Aquakulturerzeugnisse</t>
  </si>
  <si>
    <t>Energieversorgung</t>
  </si>
  <si>
    <t>Wasserversorgung</t>
  </si>
  <si>
    <t>Abwasserentsorgung</t>
  </si>
  <si>
    <t>Behandlung und Beseitigung von Abfällen sowie zur Rückgewinnung von Wertstoffen</t>
  </si>
  <si>
    <t>Sonstige Entsorgung</t>
  </si>
  <si>
    <t>Druckerei und Vervielfältigung von bespielten Ton-, Bild- und Datenträger</t>
  </si>
  <si>
    <t>Liste</t>
  </si>
  <si>
    <t>Tonnen</t>
  </si>
  <si>
    <t>Kennzahl letzte Erhebung [kWh/km]</t>
  </si>
  <si>
    <t>Dienstfahrzeuge</t>
  </si>
  <si>
    <t>Stapler</t>
  </si>
  <si>
    <t>Tiefkühllagerräume</t>
  </si>
  <si>
    <t>Nutzfläche
gesamt
[m²]</t>
  </si>
  <si>
    <t>beheizte
Nutzfläche
[m²]</t>
  </si>
  <si>
    <t>gekühlte
Nutzfläche
[m²]</t>
  </si>
  <si>
    <t>Kennzahl
Raumwärme
[kWh/m²a]</t>
  </si>
  <si>
    <t>Kennzahl
Raumkühlung
[kWh/m²a]</t>
  </si>
  <si>
    <t>Raumwärme
letzte Erhebung
[kWh/m²a]</t>
  </si>
  <si>
    <t>Raumkühlung
letzte Erhebung
[kWh/m²a]</t>
  </si>
  <si>
    <t>Kennzahl
Residuum
[kWh/m²a]</t>
  </si>
  <si>
    <t>Residuum
letzte Erhebung
[kWh/m²]</t>
  </si>
  <si>
    <t>Produzierte
Mengen</t>
  </si>
  <si>
    <t>Kennzahl
[kWh/Einheit]</t>
  </si>
  <si>
    <t>Energieeffizienzmaßnahmen</t>
  </si>
  <si>
    <t>umgesetzt</t>
  </si>
  <si>
    <t>empfohlen</t>
  </si>
  <si>
    <t>Maßnahmenbezeichnung</t>
  </si>
  <si>
    <t>Umsetztungsstatus</t>
  </si>
  <si>
    <t>Umsetzungs-status</t>
  </si>
  <si>
    <t>Nutzungs-
kategorie</t>
  </si>
  <si>
    <t>Haupt-
Energieträger
vorher</t>
  </si>
  <si>
    <t>Haupt-
Energieträger
nachher</t>
  </si>
  <si>
    <t>erreichte bzw. potenzielle
Energieeinsparung
[kWh/a]</t>
  </si>
  <si>
    <t>getätigte bzw. potenzielle
Investitionskosten
[Euro]</t>
  </si>
  <si>
    <t>erreichte bzw. potenzielle
Energiekosteneinsparung
[Euro/a]</t>
  </si>
  <si>
    <t>Dynamische
Wirtschaftlichkeits-
berechnung</t>
  </si>
  <si>
    <t>wesentliche Energieverbrauchsbereiche</t>
  </si>
  <si>
    <t>Wesentlicher Energieverbrauchsbereich</t>
  </si>
  <si>
    <t>Meldungsübersicht</t>
  </si>
  <si>
    <t>Meldendes Unternehmen</t>
  </si>
  <si>
    <t>Registertyp</t>
  </si>
  <si>
    <t>Registernummer</t>
  </si>
  <si>
    <t>ÖNACE-Code</t>
  </si>
  <si>
    <t>Adresse</t>
  </si>
  <si>
    <t>Ort</t>
  </si>
  <si>
    <t>Telefonnummer</t>
  </si>
  <si>
    <t>Mailadresse</t>
  </si>
  <si>
    <t>Weitere von der Meldung erfasste Unternehmen</t>
  </si>
  <si>
    <t>Verpflichtungserfüllung</t>
  </si>
  <si>
    <t>Kommentar</t>
  </si>
  <si>
    <t>Gemischt</t>
  </si>
  <si>
    <t>Landwirtschaft, Jagd und damit verbundene Tätigkeiten</t>
  </si>
  <si>
    <t>Landwirtschaft und Jagd</t>
  </si>
  <si>
    <t>Forstwirtschaft und Holzeinschlag</t>
  </si>
  <si>
    <t>Fischerei und Aquakultur</t>
  </si>
  <si>
    <t>Kohlenbergbau</t>
  </si>
  <si>
    <t>Gewinnung von Erdöl und Erdgas</t>
  </si>
  <si>
    <t>Gewinnung v. Erdöl- und Erdgas</t>
  </si>
  <si>
    <t>Erzbergbau</t>
  </si>
  <si>
    <t>Gewinnung von Steinen und Erden, sonstiger Bergbau</t>
  </si>
  <si>
    <t>Gewinnung v. Steinen; sonst. Bergbau</t>
  </si>
  <si>
    <t>Erbringung von Dienstleistungen für den Bergbau und für die Gewinnung von Steinen und Erden</t>
  </si>
  <si>
    <t>Dienstleistungen für den Bergbau</t>
  </si>
  <si>
    <t>Herstellung von Nahrungs- und Futtermitteln</t>
  </si>
  <si>
    <t>H.v. Nahrungs- und Futtermitteln</t>
  </si>
  <si>
    <t>Getränkeherstellung</t>
  </si>
  <si>
    <t>Tabakverarbeitung</t>
  </si>
  <si>
    <t>Herstellung von Textilien</t>
  </si>
  <si>
    <t>H.v. Textilien</t>
  </si>
  <si>
    <t>Herstellung von Bekleidung</t>
  </si>
  <si>
    <t>H.v. Bekleidung</t>
  </si>
  <si>
    <t>Herstellung von Leder, Lederwaren und Schuhen</t>
  </si>
  <si>
    <t>H v. Leder/-waren und Schuhen</t>
  </si>
  <si>
    <t>Herstellung von Holz-, Flecht-, Korb- und Korkwaren (ohne Möbel)</t>
  </si>
  <si>
    <t>H.v. Holzwaren; Korbwaren</t>
  </si>
  <si>
    <t>Herstellung von Papier, Pappe und Waren daraus</t>
  </si>
  <si>
    <t>H.v. Papier/Pappe und Waren daraus</t>
  </si>
  <si>
    <t>Herstellung von Druckerzeugnissen; Vervielfältigung von bespielten Ton-, Bild- und Datenträgern</t>
  </si>
  <si>
    <t>H.v. Druckerzeugnissen</t>
  </si>
  <si>
    <t>Kokerei und Mineralölverarbeitung</t>
  </si>
  <si>
    <t>Herstellung von chemischen Erzeugnissen</t>
  </si>
  <si>
    <t>H.v. chemischen Erzeugnissen</t>
  </si>
  <si>
    <t>Herstellung von pharmazeutischen Erzeugnissen</t>
  </si>
  <si>
    <t>H.v. pharmazeutischen Erzeugnissen</t>
  </si>
  <si>
    <t>Herstellung von Gummi- und Kunststoffwaren</t>
  </si>
  <si>
    <t>H.v. Gummi- und Kunststoffwaren</t>
  </si>
  <si>
    <t>Herstellung von Glas und Glaswaren, Keramik, Verarbeitung von Steinen und Erden</t>
  </si>
  <si>
    <t>H.v. Glas/-waren, Keramik u.Ä.</t>
  </si>
  <si>
    <t>Metallerzeugung und -bearbeitung</t>
  </si>
  <si>
    <t>Herstellung von Metallerzeugnissen</t>
  </si>
  <si>
    <t>H.v. Metallerzeugnissen</t>
  </si>
  <si>
    <t>Herstellung von Datenverarbeitungsgeräten, elektronischen und optischen Erzeugnissen</t>
  </si>
  <si>
    <t>H.v. Datenverarbeitungsgeräten</t>
  </si>
  <si>
    <t>Herstellung von elektrischen Ausrüstungen</t>
  </si>
  <si>
    <t>H.v. elektrischen Ausrüstungen</t>
  </si>
  <si>
    <t>Maschinenbau</t>
  </si>
  <si>
    <t>Herstellung von Kraftwagen und Kraftwagenteilen</t>
  </si>
  <si>
    <t>H.v. Kraftwagen und -teilen</t>
  </si>
  <si>
    <t>Sonstiger Fahrzeugbau</t>
  </si>
  <si>
    <t>Sonst. Fahrzeugbau</t>
  </si>
  <si>
    <t>Herstellung von Möbeln</t>
  </si>
  <si>
    <t>H.v. Möbeln</t>
  </si>
  <si>
    <t>Herstellung von sonstigen Waren</t>
  </si>
  <si>
    <t>H.v. sonst. Waren</t>
  </si>
  <si>
    <t>Reparatur und Installation von Maschinen und Ausrüstungen</t>
  </si>
  <si>
    <t>Reparatur/Installation v. Maschinen</t>
  </si>
  <si>
    <t>Sammlung, Behandlung und Beseitigung von Abfällen; Rückgewinnung</t>
  </si>
  <si>
    <t>Abfallbehandlung</t>
  </si>
  <si>
    <t>Beseitigung von Umweltverschmutzungen und sonstige Entsorgung</t>
  </si>
  <si>
    <t>Beseitigung v. Umweltverschmutzungen</t>
  </si>
  <si>
    <t>Hochbau</t>
  </si>
  <si>
    <t>Tiefbau</t>
  </si>
  <si>
    <t>Vorbereitende Baustellenarbeiten, Bauinstallation und sonstiges Ausbaugewerbe</t>
  </si>
  <si>
    <t>Sonst. Bautätigkeiten</t>
  </si>
  <si>
    <t>Handel mit Kraftfahrzeugen; Instandhaltung und Reparatur von Kraftfahrzeugen</t>
  </si>
  <si>
    <t>Kfz-Handel und -reparatur</t>
  </si>
  <si>
    <t>Großhandel (ohne Handel mit Kraftfahrzeugen und Krafträdern)</t>
  </si>
  <si>
    <t>Großhandel</t>
  </si>
  <si>
    <t>Einzelhandel (ohne Handel mit Kraftfahrzeugen)</t>
  </si>
  <si>
    <t>Einzelhandel</t>
  </si>
  <si>
    <t>Landverkehr und Transport in Rohrfernleitungen</t>
  </si>
  <si>
    <t>Landverkehr</t>
  </si>
  <si>
    <t>Schifffahrt</t>
  </si>
  <si>
    <t>Luftfahrt</t>
  </si>
  <si>
    <t>Lagerei sowie Erbringung von sonstigen Dienstleistungen für den Verkehr</t>
  </si>
  <si>
    <t>Dienstleistungen für den Verkehr</t>
  </si>
  <si>
    <t>Post-, Kurier- und Expressdienste</t>
  </si>
  <si>
    <t>Post- und Kurierdienste</t>
  </si>
  <si>
    <t>Beherbergung</t>
  </si>
  <si>
    <t>Gastronomie</t>
  </si>
  <si>
    <t>Verlagswesen</t>
  </si>
  <si>
    <t>Herstellung, Verleih und Vertrieb von Filmen und Fernsehprogrammen; Kinos; Tonstudios und Verlegen von Musik</t>
  </si>
  <si>
    <t>Filmherstellung/-verleih; Kinos</t>
  </si>
  <si>
    <t>Rundfunkveranstalter</t>
  </si>
  <si>
    <t>Telekommunikation</t>
  </si>
  <si>
    <t>Erbringung von Dienstleistungen der Informationstechnologie</t>
  </si>
  <si>
    <t>IT-Dienstleistungen</t>
  </si>
  <si>
    <t>Erbringung von Finanzdienstleistungen</t>
  </si>
  <si>
    <t>Finanzdienstleistungen</t>
  </si>
  <si>
    <t>Versicherungen, Rückversicherungen und Pensionskassen (ohne Sozialversicherung)</t>
  </si>
  <si>
    <t>Versicherungen und Pensionskassen</t>
  </si>
  <si>
    <t>Mit Finanz- und Versicherungsdienstleistungen verbundene Tätigkeiten</t>
  </si>
  <si>
    <t>Sonst. Finanz-/Versicherungsleistungen</t>
  </si>
  <si>
    <t>Grundstücks- und Wohnungswesen</t>
  </si>
  <si>
    <t>Rechts- und Steuerberatung, Wirtschaftsprüfung</t>
  </si>
  <si>
    <t>Rechtsberatung und Wirtschaftsprüfung</t>
  </si>
  <si>
    <t>Verwaltung und Führung von Unternehmen und Betrieben; Unternehmensberatung</t>
  </si>
  <si>
    <t>Unternehmensführung, -beratung</t>
  </si>
  <si>
    <t>Architektur- und Ingenieurbüros; technische, physikalische und chemische Untersuchung</t>
  </si>
  <si>
    <t>Architektur- und Ingenieurbüros</t>
  </si>
  <si>
    <t>Forschung und Entwicklung</t>
  </si>
  <si>
    <t>Werbung und Marktforschung</t>
  </si>
  <si>
    <t>Sonstige freiberufliche, wissenschaftliche und technische Tätigkeiten</t>
  </si>
  <si>
    <t>Sonst. freiberufl./techn. Tätigkeiten</t>
  </si>
  <si>
    <t>Veterinärwesen</t>
  </si>
  <si>
    <t>Vermietung von beweglichen Sachen</t>
  </si>
  <si>
    <t>Vermietung v. beweglichen Sachen</t>
  </si>
  <si>
    <t>Vermittlung und Überlassung von Arbeitskräften</t>
  </si>
  <si>
    <t>Arbeitskräfteüberlassung</t>
  </si>
  <si>
    <t>Reisebüros, Reiseveranstalter und Erbringung sonstiger Reservierungsdienstleistungen</t>
  </si>
  <si>
    <t>Reisebüros und Reiseveranstalter</t>
  </si>
  <si>
    <t>Wach- und Sicherheitsdienste sowie Detekteien</t>
  </si>
  <si>
    <t>Private Wach- und Sicherheitsdienste</t>
  </si>
  <si>
    <t>Gebäudebetreuung; Garten- und Landschaftsbau</t>
  </si>
  <si>
    <t>Gebäudebetreuung; Gartenbau</t>
  </si>
  <si>
    <t>Erbringung von wirtschaftlichen Dienstleistungen für Unternehmen und Privatpersonen a. n. g.</t>
  </si>
  <si>
    <t>Wirtschaftliche Dienstleistungen a.n.g.</t>
  </si>
  <si>
    <t>Öffentliche Verwaltung</t>
  </si>
  <si>
    <t>Öffentliche Verwaltung, Verteidigung; Sozialversicherung</t>
  </si>
  <si>
    <t>Erziehung und Unterricht</t>
  </si>
  <si>
    <t>Gesundheitswesen</t>
  </si>
  <si>
    <t>Heime (ohne Erholungs- und Ferienheime)</t>
  </si>
  <si>
    <t>Alten- und Pflegeheime</t>
  </si>
  <si>
    <t>Sozialwesen (ohne Heime)</t>
  </si>
  <si>
    <t>Sozialwesen</t>
  </si>
  <si>
    <t>Kreative, künstlerische und unterhaltende Tätigkeiten</t>
  </si>
  <si>
    <t>Künstlerische Tätigkeiten</t>
  </si>
  <si>
    <t>Bibliotheken, Archive, Museen, botanische und zoologische Gärten</t>
  </si>
  <si>
    <t>Bibliotheken und Museen</t>
  </si>
  <si>
    <t>Spiel-, Wett- und Lotteriewesen</t>
  </si>
  <si>
    <t>Erbringung von Dienstleistungen des Sports, der Unterhaltung und der Erholung</t>
  </si>
  <si>
    <t>Dienstleistungen Sport/Unterhaltung</t>
  </si>
  <si>
    <t>Interessenvertretungen sowie kirchliche und sonstige religiöse Vereinigungen (ohne Sozialwesen und Sport)</t>
  </si>
  <si>
    <t>Interessenvertretungen und Vereine</t>
  </si>
  <si>
    <t>Reparatur von Datenverarbeitungsgeräten und Gebrauchsgütern</t>
  </si>
  <si>
    <t>Reparatur v. Gebrauchsgütern</t>
  </si>
  <si>
    <t>Erbringung von sonstigen überwiegend persönlichen Dienstleistungen</t>
  </si>
  <si>
    <t>Sonst. Dienstleistungen a.n.g.</t>
  </si>
  <si>
    <t>Private Haushalte mit Hauspersonal</t>
  </si>
  <si>
    <t>Herstellung von Waren und Erbringung von Dienstleistungen durch private Haushalte für den Eigenbedarf ohne ausgeprägten Schwerpunkt</t>
  </si>
  <si>
    <t>Waren/Dienstleistungen - Eigenbedarf</t>
  </si>
  <si>
    <t>Exterritoriale Organisationen</t>
  </si>
  <si>
    <t>Exterritoriale Organisationen und Körperschaften</t>
  </si>
  <si>
    <t>Wirtschaftsklassen</t>
  </si>
  <si>
    <t>ÖNACE</t>
  </si>
  <si>
    <t>Register-
nummer</t>
  </si>
  <si>
    <t>ÖNACE-
Code</t>
  </si>
  <si>
    <t>Verpflichtungs-
erfüllung</t>
  </si>
  <si>
    <t>Mitwirkende</t>
  </si>
  <si>
    <t>ID elektronische Liste</t>
  </si>
  <si>
    <t>Verbundenes Unternehmen 1 KG</t>
  </si>
  <si>
    <t>Firmenbuch</t>
  </si>
  <si>
    <t>Zentrales Vereinsregister</t>
  </si>
  <si>
    <t>Ergänzungsregister</t>
  </si>
  <si>
    <t>Musterunternehmen 1 AG</t>
  </si>
  <si>
    <t>Musterunternehmensstraße 1</t>
  </si>
  <si>
    <t>Standortdaten</t>
  </si>
  <si>
    <t>Kontaktdaten</t>
  </si>
  <si>
    <t>Muster</t>
  </si>
  <si>
    <t>Anonym</t>
  </si>
  <si>
    <t>Anonym.muster@mail.com</t>
  </si>
  <si>
    <t>+43 0000 0000000</t>
  </si>
  <si>
    <t xml:space="preserve"> </t>
  </si>
  <si>
    <t>Musterort</t>
  </si>
  <si>
    <t>Jahresenergieverbrauch nach Energieverbrauchsbereich</t>
  </si>
  <si>
    <t>Nettojahresenergieverbrauch</t>
  </si>
  <si>
    <t>kWh</t>
  </si>
  <si>
    <t>Top 5 Nutzungskategorien</t>
  </si>
  <si>
    <r>
      <t xml:space="preserve">Energieträger </t>
    </r>
    <r>
      <rPr>
        <b/>
        <sz val="11"/>
        <color theme="1"/>
        <rFont val="Symbol"/>
        <family val="1"/>
        <charset val="2"/>
      </rPr>
      <t>S</t>
    </r>
  </si>
  <si>
    <r>
      <rPr>
        <b/>
        <sz val="11"/>
        <color theme="1"/>
        <rFont val="Symbol"/>
        <family val="1"/>
        <charset val="2"/>
      </rPr>
      <t>S</t>
    </r>
    <r>
      <rPr>
        <b/>
        <sz val="11"/>
        <color theme="1"/>
        <rFont val="Arial"/>
        <family val="2"/>
        <scheme val="minor"/>
      </rPr>
      <t xml:space="preserve"> Kategorien</t>
    </r>
  </si>
  <si>
    <t>Rang</t>
  </si>
  <si>
    <t>Top 5</t>
  </si>
  <si>
    <t>Hauptenergieverbraucher</t>
  </si>
  <si>
    <t>Abwärme</t>
  </si>
  <si>
    <t>Kälte (unter 0°C)</t>
  </si>
  <si>
    <t>Niedertemperatur (0-50°C)</t>
  </si>
  <si>
    <t>Mitteltemperatur (51-200°C)</t>
  </si>
  <si>
    <t>Hochtemperatur (über 200°C)</t>
  </si>
  <si>
    <t>Nutzbar
[%]</t>
  </si>
  <si>
    <t>Unternehmen</t>
  </si>
  <si>
    <t>sonstige Einheit</t>
  </si>
  <si>
    <t>Auswahllisten</t>
  </si>
  <si>
    <t>Leistungskennzahlen G</t>
  </si>
  <si>
    <t>Leistungskennzahlen T</t>
  </si>
  <si>
    <t>Hauptverbraucher</t>
  </si>
  <si>
    <t>Leistungskennzahlen P (ÖCPA)</t>
  </si>
  <si>
    <t>Phys. Einheiten</t>
  </si>
  <si>
    <t>Einheiten</t>
  </si>
  <si>
    <t>1.000 Stück</t>
  </si>
  <si>
    <t>m³</t>
  </si>
  <si>
    <t>GWh</t>
  </si>
  <si>
    <t>Sonstige</t>
  </si>
  <si>
    <t>Nebenrechnungen</t>
  </si>
  <si>
    <t>Legendenbeschriftung "Nettojahresenergieverbrauch je Energieträger"</t>
  </si>
  <si>
    <t>Legendenbeschriftung</t>
  </si>
  <si>
    <t>Mittelwert aller Gebäude</t>
  </si>
  <si>
    <t>Kennzahl
Endenergie
[kWh/m²a]</t>
  </si>
  <si>
    <t>C 10 | H.v. Nahrungs- und Futtermitteln</t>
  </si>
  <si>
    <t>[kWh]</t>
  </si>
  <si>
    <t>Nutzungskategorien je Energieträger</t>
  </si>
  <si>
    <t>Bezeichnung
Gebäudekennzahl</t>
  </si>
  <si>
    <t>Bezeichnung
Produktionskennzahl</t>
  </si>
  <si>
    <t>Bezeichnung
Transportkennzahl</t>
  </si>
  <si>
    <t>Verbrauch
gesamt
[MWh]</t>
  </si>
  <si>
    <t>[-]</t>
  </si>
  <si>
    <t>[kWh/m²a]</t>
  </si>
  <si>
    <t>Bereich</t>
  </si>
  <si>
    <t>Verbrauch</t>
  </si>
  <si>
    <t>Feststellung</t>
  </si>
  <si>
    <t>Kennzahlen</t>
  </si>
  <si>
    <t>Maßnahmen</t>
  </si>
  <si>
    <t>Verbundenes Unternehmen 2 GmbH</t>
  </si>
  <si>
    <t xml:space="preserve">Verbundenes Unternehmen 3 </t>
  </si>
  <si>
    <t>C 11 | Getränkeherstellung</t>
  </si>
  <si>
    <t>N 82 | Wirtschaftliche Dienstleistungen a.n.g.</t>
  </si>
  <si>
    <t>ISO 50001</t>
  </si>
  <si>
    <t>Split-Klimageräte</t>
  </si>
  <si>
    <t>Produktionsstätten Fertiggerichte</t>
  </si>
  <si>
    <t>Produktionsstätten Getränke</t>
  </si>
  <si>
    <t>Lager</t>
  </si>
  <si>
    <t>C 10 | Nahrungs- und Futtermittel</t>
  </si>
  <si>
    <t>Tiefkühlgerichte 1</t>
  </si>
  <si>
    <t>Tiefkühlgerichte 2</t>
  </si>
  <si>
    <t>C 11 | Getränke</t>
  </si>
  <si>
    <t>Getränke Kategorie 1</t>
  </si>
  <si>
    <t>Getränke Kategorie 2</t>
  </si>
  <si>
    <t>Stück</t>
  </si>
  <si>
    <t>Tiefkühl-Transporter</t>
  </si>
  <si>
    <t>Langstrecken-Transporter</t>
  </si>
  <si>
    <t>Lieferwägen</t>
  </si>
  <si>
    <t>Anzahl 
Fahrzeuge
[-]</t>
  </si>
  <si>
    <t>Kennzahl
[kWh/km]</t>
  </si>
  <si>
    <t>Anzahl der vom standardisierten Kurzbericht umfassten Unternehmen</t>
  </si>
  <si>
    <t>Anzahl mitwirkender Personen</t>
  </si>
  <si>
    <t>davon qualifizierte Energiedienstleister:innen</t>
  </si>
  <si>
    <t>Thermische
Leistung 
[kW]</t>
  </si>
  <si>
    <t>Bürobeleuchtung</t>
  </si>
  <si>
    <t>Parkplatzbeleuchtungen</t>
  </si>
  <si>
    <t>Industriehallenbeleuchtung</t>
  </si>
  <si>
    <t>Öfen Tiefkühlprodukte 2</t>
  </si>
  <si>
    <t>Gefrierprozesse Tiefkühlprodukte 1</t>
  </si>
  <si>
    <t>Gefrierprozesse Tiefkühlprodukte 2</t>
  </si>
  <si>
    <t>Blockheizkraftwerk, Öfen Tiefkühlprodukte 1</t>
  </si>
  <si>
    <t>Verarbeitungsprozesse Getränkezutaten</t>
  </si>
  <si>
    <t>Mischung Getränke</t>
  </si>
  <si>
    <t>Abfüllung Getränke</t>
  </si>
  <si>
    <t>Förderbänder</t>
  </si>
  <si>
    <t>Pumpsysteme</t>
  </si>
  <si>
    <t>Verpackungsprozesse</t>
  </si>
  <si>
    <t>Transportvorbereitung (Stapler)</t>
  </si>
  <si>
    <t>Heizen</t>
  </si>
  <si>
    <t>Warmwasserbereitung</t>
  </si>
  <si>
    <t>Spitzenlastkessel, Umwandlungsverluste</t>
  </si>
  <si>
    <t>Blockheizkraftwerk, Umwandlungsverluste</t>
  </si>
  <si>
    <t>Transport- und Auslieferung</t>
  </si>
  <si>
    <t>Steuersysteme</t>
  </si>
  <si>
    <t>Kältemaschinen Produktion und Lagerung</t>
  </si>
  <si>
    <t>Heizkessel Bürogebäude, Umwandlungsverluste</t>
  </si>
  <si>
    <t>Unternehmensregister</t>
  </si>
  <si>
    <t>Energieeffiziente Förderbänder</t>
  </si>
  <si>
    <t>Rührwerk</t>
  </si>
  <si>
    <t>ja</t>
  </si>
  <si>
    <t>Nutzungsmöglichkeit</t>
  </si>
  <si>
    <t>Nutzungsmöglichkeiten</t>
  </si>
  <si>
    <t>Direktabgabe an Dritte</t>
  </si>
  <si>
    <t>Unternehmensintern Heizen</t>
  </si>
  <si>
    <t>Unternehmensintern Kühlen</t>
  </si>
  <si>
    <t>Unternehmensintern Prozesse</t>
  </si>
  <si>
    <t>Einspeisen öff. Versorgungsnetz</t>
  </si>
  <si>
    <t>Sonstiges</t>
  </si>
  <si>
    <t>Jährliche
Betriebsdauer
[h/a]</t>
  </si>
  <si>
    <t>Energieaudit 2</t>
  </si>
  <si>
    <t>Energieaudit 1</t>
  </si>
  <si>
    <t>Zertifikats-, Registrier- oder Energieauditnummer</t>
  </si>
  <si>
    <t>AT-000000</t>
  </si>
  <si>
    <t>Abwärme Pumpsysteme</t>
  </si>
  <si>
    <t>Abwärme Kältemaschine TK-Lager</t>
  </si>
  <si>
    <t>Abwärme Serverräume</t>
  </si>
  <si>
    <t>Anna</t>
  </si>
  <si>
    <t>Dienstleistung Anonym</t>
  </si>
  <si>
    <t>A0000000</t>
  </si>
  <si>
    <t>PV-Anlage</t>
  </si>
  <si>
    <t>Solarthermieanlage</t>
  </si>
  <si>
    <t>Elektrische Dienstfahrzeuge</t>
  </si>
  <si>
    <t>Wert</t>
  </si>
  <si>
    <t>Koks und Kokskohle</t>
  </si>
  <si>
    <t>Braunkohle</t>
  </si>
  <si>
    <t>Rohöl und NGL</t>
  </si>
  <si>
    <t>Raffinerieeinsatz</t>
  </si>
  <si>
    <t>Benzin</t>
  </si>
  <si>
    <t>Petroleum und Kerosin</t>
  </si>
  <si>
    <t>Diesel</t>
  </si>
  <si>
    <t>Gasöl für Heizzwecke</t>
  </si>
  <si>
    <t>Heizöl schwer</t>
  </si>
  <si>
    <t>Flüssiggas</t>
  </si>
  <si>
    <t>Raffinerie-Restgas</t>
  </si>
  <si>
    <t>Erdgas</t>
  </si>
  <si>
    <t>Hochofengas</t>
  </si>
  <si>
    <t>Tiegelgas</t>
  </si>
  <si>
    <t>Kokereigas</t>
  </si>
  <si>
    <t>Industrieabfälle</t>
  </si>
  <si>
    <t>Haushaltsabfälle</t>
  </si>
  <si>
    <t>Scheitholz und Brennholz</t>
  </si>
  <si>
    <t>Pellets und Holzbriketts</t>
  </si>
  <si>
    <t>Holzabfälle</t>
  </si>
  <si>
    <t>Holzkohle</t>
  </si>
  <si>
    <t>Ablaugen</t>
  </si>
  <si>
    <t>Deponiegas</t>
  </si>
  <si>
    <t>Klärgas</t>
  </si>
  <si>
    <t>Biogas</t>
  </si>
  <si>
    <t>Bioethanol</t>
  </si>
  <si>
    <t>Biodiesel</t>
  </si>
  <si>
    <t>Sonstige Steinkohle</t>
  </si>
  <si>
    <t>Sonstige Erdölprodukte</t>
  </si>
  <si>
    <t>Sonstige biogene flüssig</t>
  </si>
  <si>
    <t>Sonstige biogene fest</t>
  </si>
  <si>
    <t>Bitte beachten Sie, dass der standardisierte Kurzbericht NICHT über dieses Musterbeispiel an die E-Control gemeldet wird, sondern ausschließlich über die elektronische Meldeplattform.</t>
  </si>
  <si>
    <t>Hinweise zur Anwendung</t>
  </si>
  <si>
    <t>Farblegende</t>
  </si>
  <si>
    <t>Eingabefeld bzw. Tabelleneingabe</t>
  </si>
  <si>
    <t xml:space="preserve">Die Eingabemöglichkeit bei einigen Feldern ist bereits vorgegeben und aus einem Drop-Down-Menü auszuwählen. </t>
  </si>
  <si>
    <t>Bei Tabellen besteht die Möglichkeit, Zeilen anzufügen: Markieren Sie hierfür die gesamte Zeile „Ende der Tabelle“ und geben Sie „Strg“ und „+“ ein.</t>
  </si>
  <si>
    <t>Allgemeine Hinweise</t>
  </si>
  <si>
    <t>kWh/kg</t>
  </si>
  <si>
    <t>kWh/Nm³</t>
  </si>
  <si>
    <t>Erklärender Text</t>
  </si>
  <si>
    <t>Warnhinweis</t>
  </si>
  <si>
    <t>Anleitung</t>
  </si>
  <si>
    <r>
      <t>Durch Anklicken des Links „</t>
    </r>
    <r>
      <rPr>
        <b/>
        <sz val="11"/>
        <color theme="1"/>
        <rFont val="Calibri"/>
        <family val="2"/>
      </rPr>
      <t>zurück zur Übersicht</t>
    </r>
    <r>
      <rPr>
        <sz val="11"/>
        <color theme="1"/>
        <rFont val="Calibri"/>
        <family val="2"/>
      </rPr>
      <t>“ in der Überschriftenzeile kann direkt auf das Tabellenblatt „Übersicht“ gesprungen werden.</t>
    </r>
  </si>
  <si>
    <t>Das Tabellenblatt "Notizen" steht für interne Notizen (Nebenrechnungen, Bemerkungen etc.) zur Verfügung.</t>
  </si>
  <si>
    <t>Für die Umrechnung von Energieträgern in kWh finden sich entsprechende Faktoren im Tabellenblatt "Umrechnungsfaktoren".</t>
  </si>
  <si>
    <t>Dargestellte Ergebnisse können von den Ergebnissen der Energieaudits bzw. zertifizierten Managementsysteme abweichen. Aufgrund der Standardisierung des Formulars können individuelle Darstellungen, die die Besonderheiten eines Unternehmens womöglich besser abbilden, nicht berücksichtigt werden.</t>
  </si>
  <si>
    <t>In der Tabelle „Meldendes Unternehmen“ sind Angaben zum Unternehmen sowie Kontaktdaten einer Ansprechperson im Unternehmen einzutragen.</t>
  </si>
  <si>
    <t>Die Telefonnummer ist inklusive Ländercode (für Österreich +43) anzugeben.</t>
  </si>
  <si>
    <t>Wurden mehrere Energieaudits für verschiedene Unternehmen eines Konzerns durchgeführt, so sind diese fortlaufend zu nummerieren. Die Nummerierung kann gegebenenfalls in der Spalte "Zertifikats-, Registrier- oder Energieauditnummer" eingetragen werden.</t>
  </si>
  <si>
    <t xml:space="preserve">In die Tabelle „Weitere von der Meldung erfasste Unternehmen“ sind alle weiteren Unternehmen aufzulisten, die von der vorliegenden Meldung erfasst sind. </t>
  </si>
  <si>
    <t>Allgemeine Unternehmensdaten (§ 3 EEff-SKV)</t>
  </si>
  <si>
    <t>Energieverbrauch (§ 4 EEff-SKV)</t>
  </si>
  <si>
    <t>Die Gesamtsumme des Bruttojahresenergieverbrauchs aller Energieträger sollte mit der Gesamtsumme der Jahresabgabe und des Nettojahresenergieverbrauchs aller Energieträger übereinstimmen.</t>
  </si>
  <si>
    <t>Die Summe des Nettojahresenergieverbrauchs der Tabelle „Jahresenergieverbrauch nach Energieträger“ muss mit jener der Tabelle „Jahresenergieverbrauch nach Energieverbrauchsbereich“ übereinstimmen.</t>
  </si>
  <si>
    <t>In die Tabelle „Jahresenergieverbrauch nach Energieverbrauchsbereich“ ist der Nettojahresenergieverbrauch für Gebäude, Prozesse und Transport einzutragen. Der Bereich Prozesse entspricht § 37 Ziffer 35 lit. b EEffG "Produktionsprozesse" und enthält ausschließlich Geräte und Anlagen zur Herstellung von Gütern und Objekten (Land-, Forst-, und Wasserwirtschaft, herstellende Industrie, Energieversorgung und Bauwesen).</t>
  </si>
  <si>
    <t>Die Spalte "Bezeichnung" lässt eine Freitexteingabe zu. Vorgesehen ist eine selbsterklärende Bezeichnung der energieverbrauchenden Geräte, Fahrzeuge, Prozesse oder zusammengefassten Gruppe an Energieverbrauchern.</t>
  </si>
  <si>
    <t>Die Energieträger im Drop-Down-Menü entsprechen dem Anhang zur EEff-SKV. Sofern nicht direkt primäre Energieträger zum Einsatz kommen (z.B. im Dieselmotor), sind die Hauptenergieverbraucher den abgeleiteten Energieträgern (thermische Energie, elektrische Energie) zuzuordnen.</t>
  </si>
  <si>
    <t>Hauptenergieverbrauchende Faktoren (§ 6 EEff-SKV)</t>
  </si>
  <si>
    <t>Abwärmepotenziale (§ 5 EEff-SKV)</t>
  </si>
  <si>
    <t>Die Spalte "Bezeichnung" lässt eine Freitexteingabe zu. Vorgesehen ist eine selbsterklärende Bezeichnung der Abwärmequelle (z.B. Kompressor).</t>
  </si>
  <si>
    <t xml:space="preserve">In der Spalte "Thermische Leistung [kW]" ist die durchschnittliche Wärmeleistung der Abwärmequelle in der Einheit Kilowatt [kW] einzugeben. </t>
  </si>
  <si>
    <t>Die Temperaturniveaus entsprechen den Ziffern 1 bis 4 gemäß § 5 EEff-SKV.</t>
  </si>
  <si>
    <t>Unter "Nutzungsmöglichkeit" kann angegeben werden, für welchen Zweck die Abwärme innerhalb oder außerhalb des Unternehmens weiterverwendet werden kann.</t>
  </si>
  <si>
    <t>Die Spalte "Bezeichnung" lässt eine Freitexteingabe zu. Vorgesehen ist eine selbsterklärende Bezeichnung der energieverbrauchenden Objekte, Geräte oder zusammengefassten Gruppe an Energieverbrauchern.</t>
  </si>
  <si>
    <t>Nettojahresenergieverbrauch [kWh/a]</t>
  </si>
  <si>
    <t>In die Tabelle „Jahresenergieverbrauch nach Energieträger“ sind Angaben zu jedem eingesetzten Energieträger hinsichtlich Bruttojahresenergieverbrauch, Jahresabgabe von Energiemengen und  Nettojahresenergieverbrauch in der Einheit Kilowattstunden [kWh/a] einzutragen.</t>
  </si>
  <si>
    <t>Bruttojahresenergie-verbrauch [kWh/a]</t>
  </si>
  <si>
    <t>Jahresabgabe von Energiemengen [kWh/a]</t>
  </si>
  <si>
    <t>Nettojahresenergie-verbrauch [kWh/a]</t>
  </si>
  <si>
    <t>Energiemenge
[kWh/a]</t>
  </si>
  <si>
    <t>Energie-
verbrauch
[kWh/a]</t>
  </si>
  <si>
    <t>Verbrauch
insgesamt
[kWh/a]</t>
  </si>
  <si>
    <t>Energieverbrauch
Raumwärme
[kWh/a]</t>
  </si>
  <si>
    <t>Energieverbrauch
Raumkühlung
[kWh/a]</t>
  </si>
  <si>
    <t>Energieverbrauch
Residuum
[kWh/a]</t>
  </si>
  <si>
    <t>Nutzbare
Wärmemenge
[kWh/a]</t>
  </si>
  <si>
    <t>Verfügbar
[kWh/a]</t>
  </si>
  <si>
    <t>Nutzbar
[kWh/a]</t>
  </si>
  <si>
    <t xml:space="preserve">In der Spalte "Nutzbare Wärmemenge [kWh/a]" ist anzugeben, wie viel der verfügbaren Abwärme in Kilowattstunden [kWh] für einen anderen Energieverbraucher weiterverwendet werden kann. </t>
  </si>
  <si>
    <t>Zu beachten ist, dass die jährlichen Energiemengen in der Einheit Kilowattstunden [kWh/a] einzutragen sind.</t>
  </si>
  <si>
    <t>Zur Darlegung der Entwicklung sind in den Spalten "Raumwärme letzte Erhebung [kWh/m²a]", "Raumkühlung letzte Erhebung [kWh/m²a]" und "Residuum letzte Erhebung [kWh/m²a]" die jeweiligen Kennzahlen aus dem letzten gemeldeten Energieauditbericht bzw. standardisierten Kurzbericht einzutragen.</t>
  </si>
  <si>
    <t>Die Spalte "Bezeichnung" lässt eine Freitexteingabe zu. Vorgesehen ist eine selbsterklärende Bezeichnung der energieverbrauchenden Anlagen, Geräte oder zusammengefassten Gruppe an Energieverbrauchern.</t>
  </si>
  <si>
    <t>Die Gebäudekategorien entsprechen den Ziffern 1 bis 12 gemäß § 7 Abs. 1 EEff-SKV.</t>
  </si>
  <si>
    <t>Dem Wert in Spalte "Produzierte Mengen" ist eine passende Einheit, die Auskunft über das entsprechende Jahres-Produktionsvolumen gibt, in der gleichnamigen Spalte zuzuweisen. Eine Vorauswahl an physikalischen Einheiten steht zur Verfügung. Mit der Auswahl "Sonstige" kann eine eigene Einheit für die Kennzahl verwendet werden, die in der Spalte "sonstige Einheit" einzutragen wäre.</t>
  </si>
  <si>
    <t>In der Spalte "Energieverbrauch [kWh/a]" ist jene Jahres-Energiemenge in Kilowattstunden [kWh/a] angegeben, welche für die angeführte Produktionsmenge eingesetzt wurde.</t>
  </si>
  <si>
    <t>Zur Darlegung der Entwicklung der wesentlichen Energieverbrauchsbereiche sind unter "Kennzahl letzte Erhebung" die Kennzahlen aus dem letzten gemeldeten Energieauditbericht bzw. standardisierten Kurzbericht einzutragen. Für eine Vergleichbarkeit der Werte ist darauf zu achten, dass dieselbe Einheit gewählt wurde.</t>
  </si>
  <si>
    <t>Die Spalte "Bezeichnung" lässt eine Freitexteingabe zu. Vorgesehen ist eine selbsterklärende Bezeichnung der energieverbrauchenden Fahrzeuge oder zusammengefassten Gruppe an Fahrzeugen.</t>
  </si>
  <si>
    <t>Die Fahrzeugklassen entsprechen den Ziffern 1 bis 11 gemäß § 7 Abs. 3 EEff-SKV.</t>
  </si>
  <si>
    <t>Fahrleistung
insgesamt
[km/a]</t>
  </si>
  <si>
    <t>Unter "Fahrleistung insgesamt [km/a]" ist die jährliche Gesamtfahrleistung in der Einheit Kilometer [km/a] aller in der Zeile angeführten Fahrzeuge anzugeben.</t>
  </si>
  <si>
    <t>Unter "Verbrauch insgesamt [km/a]" ist der jährliche Energie- bzw. Treibstoffverbrauch in der Einheit Kilowattstunden [kWh/a] aller in der Zeile angeführten Fahrzeuge anzugeben.</t>
  </si>
  <si>
    <t xml:space="preserve">Zur Darlegung der Entwicklung der wesentlichen Energieverbrauchsbereiche sind unter "Kennzahl letzte Erhebung [kWh/km]" die Kennzahlen aus dem letzten gemeldeten Energieauditbericht bzw. standardisierten Kurzbericht in kWh/km einzutragen. </t>
  </si>
  <si>
    <t>Die Spalte "Bezeichnung" lässt eine Freitexteingabe zu. Vorgesehen ist eine selbsterklärende Bezeichnung der Energieeffizienzmaßnahme (z.B. Wärmerückgewinnung).</t>
  </si>
  <si>
    <t>In dieser Tabelle können relevante und umgesetzte Maßnahmen zur Reduktion des Energieverbrauchs, zur Verbesserung der Energieeffizienz und zur Forcierung des Einsatzes erneuerbarer Energieträger eingetragen werden.</t>
  </si>
  <si>
    <t>Die Nutzungskategorien entsprechen den Nutzungskategorien gemäß § 6 EEff-SKV aller drei Energieverbrauchsbereiche.</t>
  </si>
  <si>
    <t>In der Spalte "erreichte bzw. potenzielle Energieeinsparung [kWh/a]" ist jene Jahres-Energiemenge in Kliowattstunden [kWh/a] einzutragen, welche durch die Maßnahme tatsächlich eingespart wurde bzw. eingespart werden würde.</t>
  </si>
  <si>
    <t>Die Kosten oder Kostenschätzung für die Umsetzung der Maßnahme sind unter "getätigte bzw. potenzielle Investitionskosten [Euro]" in Euro einzutragen.</t>
  </si>
  <si>
    <t>Unter "Dynamische Wirtschaftlichkeitsberechnung" ist anzugeben, ob ein dynamisches Wirtschaftlichkeitsberechnungsverfahren angewendet wurde.</t>
  </si>
  <si>
    <t>Mitwirkende (§ 10 EEff-SKV)</t>
  </si>
  <si>
    <t>Energieeffizienzmaßnahmen (§ 8 und § 9 EEff-SKV)</t>
  </si>
  <si>
    <t>Energieleistungskennzahlen (§ 7 EEff-SKV)</t>
  </si>
  <si>
    <t>In der Spalte "ID elektronische Liste" ist die Identifikationsnummer der Energieauditorinnen bzw. Energieauditoren anzuführen, mit der die Person auf der elektronischen Liste der Monitoringstelle der E-Control geführt wird.</t>
  </si>
  <si>
    <t>Jahr der Energieverbrauchserhebung</t>
  </si>
  <si>
    <t>000000a</t>
  </si>
  <si>
    <t>000000b</t>
  </si>
  <si>
    <t>000000c</t>
  </si>
  <si>
    <t>000000000000</t>
  </si>
  <si>
    <t>17,5 kWh/Tonnen</t>
  </si>
  <si>
    <t>20 kWh/Stück</t>
  </si>
  <si>
    <t>1000 kWh/Tonnen</t>
  </si>
  <si>
    <t>1340 kWh/m³</t>
  </si>
  <si>
    <t>gemeldete Kennzahlen</t>
  </si>
  <si>
    <t>unterschiedliche Gebäudekategorien</t>
  </si>
  <si>
    <t>spezifischer Endenergieverbrauch aller Gebäude</t>
  </si>
  <si>
    <t>unterschiedliche Güterkategorien</t>
  </si>
  <si>
    <t>unterschiedliche Fahrzeugklassen</t>
  </si>
  <si>
    <t>umgesetzte Maßnahmen</t>
  </si>
  <si>
    <t>empfohlene Maßnahmen</t>
  </si>
  <si>
    <t>Im Nettojahresenergieverbrauch sollten vorrangig abgeleitete Energieträger (thermische Energie und elektrische Energie) sowie jene Verluste der Energieumwandlungsanlagen (Heizkessel, Turbinen, Motoren, etc.) angegeben werden. Dies erleichtert die nachfolgende Zuordnung der Hauptenergieverbraucher zu den jeweiligen Energieträgern.</t>
  </si>
  <si>
    <t>Das vorliegende Musterbeispiel zum standardisierten Kurzbericht wurde auf Basis des Bundes-Energieeffizienzgesetzes (EEffG), BGBl. I Nr. 72/2014 idF BGBl. I Nr. 59/2023, und der Energieeffizienz-Standardisierte-Kurzberichte-Verordnung (EEff-SKV), BGBl. II Nr. 242/2023, entwickelt und ist als Hilfestellung für die künftige Meldung des standardisierten Kurzberichts zu verstehen.</t>
  </si>
  <si>
    <r>
      <t xml:space="preserve">Der standardisierte Kurzbericht dient zur einheitlichen Erhebung von Erkenntnissen aus Energieaudits und Managementsystemen. Werden im Zuge eines Energieaudits oder Managementsystems bestimmte Inhalte nicht erfasst, weil diese beispielsweise nicht relevant oder von Gesetzes wegen nicht zu erfassen sind, sind diese auch </t>
    </r>
    <r>
      <rPr>
        <u/>
        <sz val="11"/>
        <color theme="1"/>
        <rFont val="Calibri"/>
        <family val="2"/>
      </rPr>
      <t>nicht</t>
    </r>
    <r>
      <rPr>
        <sz val="11"/>
        <color theme="1"/>
        <rFont val="Calibri"/>
        <family val="2"/>
      </rPr>
      <t xml:space="preserve"> im standardisierten Kurzbericht zu melden.</t>
    </r>
  </si>
  <si>
    <t xml:space="preserve">Die elektronische Meldeplattform gemäß § 59 EEffG ist eine webbasierte Anwendung zur Durchführung aller für das EEffG erforderlichen Meldungen. Diese befindet sich aktuell in Entwicklung und wird zeitgerecht zur Verfügung gestellt. </t>
  </si>
  <si>
    <t xml:space="preserve">Dieses Tabellenblatt bietet eine Übersicht und soll zur Kontrolle der Eingaben in den nachfolgenden Tabellenblättern dienen. Inhalte in diesem Tabellenblatt können nicht bearbeitet werden. Die Übersicht indiziert fehlende erforderliche Einträge.
</t>
  </si>
  <si>
    <t>Prozesse | innerbetriebliche Transport</t>
  </si>
  <si>
    <t>Der Registertyp und der ÖNACE-Code sind über ein Drop-Down-Menü auszuwählen.</t>
  </si>
  <si>
    <t>Unter "Verpflichtungserfüllung" ist auszuwählen, ob ein Energieaudit, ein anerkanntes Managementsystem oder eine Kombination daraus umgesetzt worden ist (Energieaudit/ Managementsystem/ Gemischt).</t>
  </si>
  <si>
    <t>Unter "abgegebene Energiemengen" fallen jene Energiemengen, die an natürliche oder juristische Personen weitergegeben werden. Nicht davon umfasst sind Energiemengen, die an die Umwelt verlorengehen.</t>
  </si>
  <si>
    <t xml:space="preserve">Die beheizten und gekühlten Nutzflächen sind immer eine Teilmenge der Gesamtnutzfläche. Alle drei sind in Quadratmetern [m²] anzugeben und können gleich groß sein (z.B. Supermarkt). "Beheizt" und "gekühlt" bezieht sich auf Räume, die mithilfe einer Heizung oder Klimaanlage temperiert werden. </t>
  </si>
  <si>
    <t>In "Energieverbrauch Raumwärme" und "Energieverbrauch Raumkälte" ist der Jahresenergieverbrauch in Kilowattstunden [kWh/a] für Raumwärme und Raumkälte getrennt voneinander anzugeben. Mit "Energieverbrauch Residuum" sind sämtliche Energiemengen ohne Raumwärme und Raumkälte gemeint (z.B. für Beleuchtung, IT-Systeme etc.).</t>
  </si>
  <si>
    <t>"Kennzahl Raumwärme [kWh/m²a]", "Kennzahl Raumkühlung [kWh/m²a]" und "Kennzahl Residuum [kWh/m²a]" werden automatisch aus dem Energieverbrauch und der dazugehörigen Nutzfläche ermittelt. Alternativ kann die Kennzahl auch manuell eingetragen werden, beispielsweise wenn eine Klimabereinigung durchgeführt wurde.</t>
  </si>
  <si>
    <t>Die ÖCPA-Abteilungen entsprechen der zweiten Ebene der österreichischen Systematik der Güter. Nähere Informationen dazu finden sich unter https://www.statistik.at/KDBWeb/kdb_Einstieg.do?NAV=DE</t>
  </si>
  <si>
    <t>Die Spalte "Kennzahl [kWh/Einheit]" wird automatisch aus dem Energieverbrauch und der angegebenen Einheit ermittelt. Alternativ kann die Kennzahl auch manuell eingetragen werden.</t>
  </si>
  <si>
    <t>Die Spalte "Kennzahl [kWh/km]" wird automatisch aus dem Energieverbrauch und der Fahrleistung ermittelt. Alternativ kann die Kennzahl auch manuell eingetragen werden.</t>
  </si>
  <si>
    <t>Unter "Jährliche Betriebsdauer [h/a]" ist die Betriebsdauer der Abwärmequelle in Stunden pro Jahr einzugeben.</t>
  </si>
  <si>
    <t>In der Spalte "Umsetzungsstatus" kann ausgewählt werden, ob es sich um eine relevante Maßnahme "empfohlen" (gemäß § 8 EEff-SKV) oder um eine bereits umgesetzte Maßnahme "umgesetzt" (gemäß §9 EEff-SKV) handelt.</t>
  </si>
  <si>
    <t>Als "Hauptenergieträger vorher" ist jener Energieträger auszuwählen, der vor Maßnahmenumsetzung zum Einsatz kommt bzw. kam. Als "Hauptenergieträger nachher" ist jener Energieträger auszuwählen, der nach Maßnahmenumsetzung zum Einsatz kommt bzw. kommen würde. Die Energieträger vorher und nachher können sich (müssen sich jedoch nicht) voneinander unterscheiden.</t>
  </si>
  <si>
    <t>Analog dazu sind die jährlich tatsächlich erreichten (umgesetzte Maßnahme) oder möglichen eingesparten (empfohlene Maßnahme) Energiekosten in der Spalte "erreichte bzw. potenzielle Energiekosteneinsparung [Euro/a]" in Euro anzugeben.</t>
  </si>
  <si>
    <t>In diese Tabelle sind jene Personen einzutragen, die an den Energieaudits und Managementsystemen mitgearbeitet haben.</t>
  </si>
  <si>
    <t>Einzutragen sind Vorname und Nachname sowie im Feld "Unternehmensbezeichnung" die Firmenzugehörigkeit der jeweiligen Person.</t>
  </si>
  <si>
    <t>Ein frei gestaltbares Arbeitsblatt für Notizen und Nebenberechnungen.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</si>
</sst>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64" formatCode="#,##0.0;[Red]\-#,##0.0;\-"/>
    <numFmt numFmtId="165" formatCode="0.0\ %;0.0\ %;\-\ \%"/>
    <numFmt numFmtId="166" formatCode="#,##0.00;[Red]\-#,##0.00;\-"/>
    <numFmt numFmtId="167" formatCode="#,##0;[Red]\-#,##0;\-"/>
    <numFmt numFmtId="168" formatCode="#,##0.0_ ;[Red]\-#,##0.0\ "/>
  </numFmts>
  <fonts count="26">
    <font>
      <sz val="11"/>
      <color theme="1"/>
      <name val="Arial"/>
      <family val="2"/>
      <scheme val="minor"/>
    </font>
    <font>
      <b/>
      <sz val="11"/>
      <color theme="1"/>
      <name val="Arial"/>
      <family val="2"/>
      <scheme val="minor"/>
    </font>
    <font>
      <sz val="11"/>
      <color rgb="FF3F3F76"/>
      <name val="Arial"/>
      <family val="2"/>
      <scheme val="minor"/>
    </font>
    <font>
      <sz val="8"/>
      <name val="Arial"/>
      <family val="2"/>
      <scheme val="minor"/>
    </font>
    <font>
      <b/>
      <sz val="16"/>
      <color theme="0"/>
      <name val="Arial"/>
      <family val="2"/>
      <scheme val="major"/>
    </font>
    <font>
      <sz val="11"/>
      <name val="Arial"/>
      <family val="2"/>
      <scheme val="minor"/>
    </font>
    <font>
      <u/>
      <sz val="11"/>
      <name val="Arial"/>
      <family val="2"/>
      <scheme val="minor"/>
    </font>
    <font>
      <sz val="11"/>
      <color theme="1"/>
      <name val="Arial"/>
      <family val="2"/>
      <scheme val="minor"/>
    </font>
    <font>
      <b/>
      <sz val="10"/>
      <color theme="1"/>
      <name val="Arial"/>
      <family val="2"/>
      <scheme val="minor"/>
    </font>
    <font>
      <b/>
      <sz val="11"/>
      <color theme="1"/>
      <name val="Symbol"/>
      <family val="1"/>
      <charset val="2"/>
    </font>
    <font>
      <b/>
      <sz val="11"/>
      <color theme="1"/>
      <name val="Arial"/>
      <family val="1"/>
      <charset val="2"/>
      <scheme val="minor"/>
    </font>
    <font>
      <u/>
      <sz val="11"/>
      <color theme="0"/>
      <name val="Arial"/>
      <family val="2"/>
      <scheme val="minor"/>
    </font>
    <font>
      <b/>
      <sz val="12"/>
      <color theme="3"/>
      <name val="Arial"/>
      <family val="2"/>
      <scheme val="minor"/>
    </font>
    <font>
      <b/>
      <sz val="14"/>
      <color theme="1"/>
      <name val="Arial"/>
      <family val="2"/>
      <scheme val="minor"/>
    </font>
    <font>
      <b/>
      <sz val="11"/>
      <color theme="0"/>
      <name val="Arial"/>
      <family val="2"/>
      <scheme val="minor"/>
    </font>
    <font>
      <i/>
      <sz val="11"/>
      <color rgb="FF7F7F7F"/>
      <name val="Arial"/>
      <family val="2"/>
      <scheme val="minor"/>
    </font>
    <font>
      <b/>
      <sz val="14"/>
      <color theme="0"/>
      <name val="Arial"/>
      <family val="2"/>
      <scheme val="minor"/>
    </font>
    <font>
      <i/>
      <sz val="10"/>
      <color rgb="FFC00000"/>
      <name val="Arial"/>
      <family val="2"/>
      <scheme val="minor"/>
    </font>
    <font>
      <b/>
      <sz val="11"/>
      <color rgb="FF3F3F3F"/>
      <name val="Arial"/>
      <family val="2"/>
      <scheme val="minor"/>
    </font>
    <font>
      <b/>
      <sz val="11"/>
      <color rgb="FFFA7D00"/>
      <name val="Arial"/>
      <family val="2"/>
      <scheme val="minor"/>
    </font>
    <font>
      <sz val="11"/>
      <color rgb="FFFA7D00"/>
      <name val="Arial"/>
      <family val="2"/>
      <scheme val="minor"/>
    </font>
    <font>
      <sz val="11"/>
      <color theme="1"/>
      <name val="Franklin Gothic Book"/>
      <family val="2"/>
    </font>
    <font>
      <sz val="11"/>
      <color rgb="FFF5F7FA"/>
      <name val="Franklin Gothic Book"/>
      <family val="2"/>
    </font>
    <font>
      <sz val="11"/>
      <color theme="1"/>
      <name val="Calibri"/>
      <family val="2"/>
    </font>
    <font>
      <b/>
      <sz val="11"/>
      <color theme="1"/>
      <name val="Calibri"/>
      <family val="2"/>
    </font>
    <font>
      <u/>
      <sz val="11"/>
      <color theme="1"/>
      <name val="Calibri"/>
      <family val="2"/>
    </font>
  </fonts>
  <fills count="16">
    <fill>
      <patternFill patternType="none"/>
    </fill>
    <fill>
      <patternFill patternType="gray125"/>
    </fill>
    <fill>
      <patternFill patternType="solid">
        <fgColor rgb="FF0066A9"/>
        <bgColor indexed="64"/>
      </patternFill>
    </fill>
    <fill>
      <patternFill patternType="solid">
        <fgColor rgb="FFB8CBE4"/>
        <bgColor indexed="64"/>
      </patternFill>
    </fill>
    <fill>
      <patternFill patternType="solid">
        <fgColor theme="0"/>
        <bgColor indexed="64"/>
      </patternFill>
    </fill>
    <fill>
      <patternFill patternType="solid">
        <fgColor rgb="FFD9E7CE"/>
        <bgColor indexed="64"/>
      </patternFill>
    </fill>
    <fill>
      <patternFill patternType="solid">
        <fgColor rgb="FFF8E1BA"/>
        <bgColor indexed="64"/>
      </patternFill>
    </fill>
    <fill>
      <patternFill patternType="solid">
        <fgColor rgb="FFEFC2AD"/>
        <bgColor indexed="64"/>
      </patternFill>
    </fill>
    <fill>
      <patternFill patternType="solid">
        <fgColor rgb="FFD1DCED"/>
        <bgColor indexed="64"/>
      </patternFill>
    </fill>
    <fill>
      <patternFill patternType="solid">
        <fgColor rgb="FF699AC9"/>
        <bgColor indexed="64"/>
      </patternFill>
    </fill>
    <fill>
      <patternFill patternType="solid">
        <fgColor rgb="FFCE3B17"/>
        <bgColor indexed="64"/>
      </patternFill>
    </fill>
    <fill>
      <patternFill patternType="solid">
        <fgColor rgb="FF418321"/>
        <bgColor indexed="64"/>
      </patternFill>
    </fill>
    <fill>
      <patternFill patternType="solid">
        <fgColor rgb="FF58585A"/>
        <bgColor indexed="64"/>
      </patternFill>
    </fill>
    <fill>
      <patternFill patternType="solid">
        <fgColor rgb="FFF2F2F2"/>
      </patternFill>
    </fill>
    <fill>
      <patternFill patternType="solid">
        <fgColor rgb="FFA5A5A5"/>
      </patternFill>
    </fill>
    <fill>
      <patternFill patternType="solid">
        <fgColor theme="1"/>
        <bgColor indexed="64"/>
      </patternFill>
    </fill>
  </fills>
  <borders count="21">
    <border>
      <left/>
      <right/>
      <top/>
      <bottom/>
      <diagonal/>
    </border>
    <border>
      <left/>
      <right/>
      <top style="thin">
        <color indexed="64"/>
      </top>
      <bottom/>
      <diagonal/>
    </border>
    <border>
      <left/>
      <right/>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dashed">
        <color rgb="FFA0BADA"/>
      </left>
      <right style="dashed">
        <color rgb="FFA0BADA"/>
      </right>
      <top style="dashed">
        <color rgb="FFA0BADA"/>
      </top>
      <bottom style="dashed">
        <color rgb="FFA0BADA"/>
      </bottom>
      <diagonal/>
    </border>
    <border>
      <left style="medium">
        <color rgb="FF58585A"/>
      </left>
      <right/>
      <top style="medium">
        <color rgb="FF58585A"/>
      </top>
      <bottom/>
      <diagonal/>
    </border>
    <border>
      <left/>
      <right/>
      <top style="medium">
        <color rgb="FF58585A"/>
      </top>
      <bottom/>
      <diagonal/>
    </border>
    <border>
      <left/>
      <right style="medium">
        <color rgb="FF58585A"/>
      </right>
      <top style="medium">
        <color rgb="FF58585A"/>
      </top>
      <bottom/>
      <diagonal/>
    </border>
    <border>
      <left style="medium">
        <color rgb="FF418321"/>
      </left>
      <right/>
      <top style="medium">
        <color rgb="FF418321"/>
      </top>
      <bottom/>
      <diagonal/>
    </border>
    <border>
      <left/>
      <right/>
      <top style="medium">
        <color rgb="FF418321"/>
      </top>
      <bottom/>
      <diagonal/>
    </border>
    <border>
      <left/>
      <right style="medium">
        <color rgb="FF418321"/>
      </right>
      <top style="medium">
        <color rgb="FF418321"/>
      </top>
      <bottom/>
      <diagonal/>
    </border>
    <border>
      <left style="medium">
        <color rgb="FFCE3B17"/>
      </left>
      <right/>
      <top style="medium">
        <color rgb="FFCE3B17"/>
      </top>
      <bottom/>
      <diagonal/>
    </border>
    <border>
      <left/>
      <right/>
      <top style="medium">
        <color rgb="FFCE3B17"/>
      </top>
      <bottom/>
      <diagonal/>
    </border>
    <border>
      <left/>
      <right style="medium">
        <color rgb="FFCE3B17"/>
      </right>
      <top style="medium">
        <color rgb="FFCE3B17"/>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style="medium">
        <color rgb="FFD1DCED"/>
      </right>
      <top/>
      <bottom style="medium">
        <color rgb="FFD1DCED"/>
      </bottom>
      <diagonal/>
    </border>
  </borders>
  <cellStyleXfs count="14">
    <xf numFmtId="0" fontId="0" fillId="0" borderId="0"/>
    <xf numFmtId="0" fontId="4" fillId="2" borderId="0" applyNumberFormat="0" applyBorder="0" applyAlignment="0" applyProtection="0"/>
    <xf numFmtId="0" fontId="13" fillId="9" borderId="0" applyNumberFormat="0">
      <alignment vertical="center"/>
    </xf>
    <xf numFmtId="0" fontId="2" fillId="8" borderId="6" applyNumberFormat="0" applyAlignment="0">
      <protection locked="0"/>
    </xf>
    <xf numFmtId="0" fontId="6" fillId="0" borderId="0" applyNumberFormat="0" applyFill="0" applyBorder="0" applyAlignment="0" applyProtection="0"/>
    <xf numFmtId="0" fontId="6" fillId="0" borderId="0" applyNumberFormat="0" applyFill="0" applyBorder="0" applyAlignment="0" applyProtection="0"/>
    <xf numFmtId="9" fontId="7" fillId="0" borderId="0" applyFont="0" applyFill="0" applyBorder="0" applyAlignment="0" applyProtection="0"/>
    <xf numFmtId="0" fontId="12" fillId="8" borderId="0" applyNumberFormat="0" applyAlignment="0" applyProtection="0"/>
    <xf numFmtId="0" fontId="17" fillId="0" borderId="0" applyNumberFormat="0" applyFill="0" applyBorder="0" applyAlignment="0" applyProtection="0"/>
    <xf numFmtId="0" fontId="15" fillId="0" borderId="0" applyNumberFormat="0" applyFill="0" applyBorder="0" applyAlignment="0">
      <protection hidden="1"/>
    </xf>
    <xf numFmtId="0" fontId="18" fillId="13" borderId="16" applyNumberFormat="0" applyAlignment="0" applyProtection="0"/>
    <xf numFmtId="0" fontId="19" fillId="13" borderId="17" applyNumberFormat="0" applyAlignment="0" applyProtection="0"/>
    <xf numFmtId="0" fontId="20" fillId="0" borderId="18" applyNumberFormat="0" applyFill="0" applyAlignment="0" applyProtection="0"/>
    <xf numFmtId="0" fontId="14" fillId="14" borderId="19" applyNumberFormat="0" applyAlignment="0" applyProtection="0"/>
  </cellStyleXfs>
  <cellXfs count="120">
    <xf numFmtId="0" fontId="0" fillId="0" borderId="0" xfId="0"/>
    <xf numFmtId="0" fontId="0" fillId="0" borderId="0" xfId="0" applyAlignment="1">
      <alignment wrapText="1"/>
    </xf>
    <xf numFmtId="0" fontId="0" fillId="0" borderId="0" xfId="0" applyProtection="1">
      <protection locked="0"/>
    </xf>
    <xf numFmtId="164" fontId="0" fillId="0" borderId="0" xfId="0" applyNumberFormat="1" applyProtection="1">
      <protection locked="0"/>
    </xf>
    <xf numFmtId="164" fontId="0" fillId="0" borderId="0" xfId="0" applyNumberFormat="1"/>
    <xf numFmtId="0" fontId="4" fillId="2" borderId="0" xfId="1"/>
    <xf numFmtId="15" fontId="0" fillId="0" borderId="0" xfId="0" applyNumberFormat="1"/>
    <xf numFmtId="15" fontId="0" fillId="0" borderId="0" xfId="0" applyNumberFormat="1" applyAlignment="1">
      <alignment wrapText="1"/>
    </xf>
    <xf numFmtId="0" fontId="0" fillId="0" borderId="0" xfId="0" applyAlignment="1">
      <alignment horizontal="center" wrapText="1"/>
    </xf>
    <xf numFmtId="0" fontId="13" fillId="9" borderId="0" xfId="2">
      <alignment vertical="center"/>
    </xf>
    <xf numFmtId="164" fontId="0" fillId="0" borderId="0" xfId="0" applyNumberFormat="1" applyAlignment="1" applyProtection="1">
      <alignment horizontal="right"/>
      <protection locked="0"/>
    </xf>
    <xf numFmtId="0" fontId="0" fillId="0" borderId="0" xfId="0" applyAlignment="1" applyProtection="1">
      <alignment horizontal="right"/>
      <protection locked="0"/>
    </xf>
    <xf numFmtId="166" fontId="0" fillId="0" borderId="0" xfId="0" applyNumberFormat="1" applyAlignment="1" applyProtection="1">
      <alignment horizontal="right"/>
      <protection locked="0"/>
    </xf>
    <xf numFmtId="0" fontId="2" fillId="8" borderId="6" xfId="3" applyAlignment="1">
      <alignment horizontal="center"/>
      <protection locked="0"/>
    </xf>
    <xf numFmtId="0" fontId="2" fillId="8" borderId="6" xfId="3" applyAlignment="1">
      <alignment vertical="center"/>
      <protection locked="0"/>
    </xf>
    <xf numFmtId="165" fontId="0" fillId="0" borderId="0" xfId="6" applyNumberFormat="1" applyFont="1"/>
    <xf numFmtId="0" fontId="0" fillId="4" borderId="0" xfId="0" applyFill="1"/>
    <xf numFmtId="0" fontId="0" fillId="4" borderId="0" xfId="0" applyFill="1" applyAlignment="1">
      <alignment horizontal="center"/>
    </xf>
    <xf numFmtId="167" fontId="0" fillId="0" borderId="0" xfId="0" applyNumberFormat="1"/>
    <xf numFmtId="0" fontId="12" fillId="8" borderId="0" xfId="7"/>
    <xf numFmtId="0" fontId="0" fillId="3" borderId="0" xfId="0" applyFill="1"/>
    <xf numFmtId="165" fontId="0" fillId="3" borderId="0" xfId="0" applyNumberFormat="1" applyFill="1"/>
    <xf numFmtId="0" fontId="0" fillId="5" borderId="0" xfId="0" applyFill="1"/>
    <xf numFmtId="165" fontId="0" fillId="5" borderId="0" xfId="0" applyNumberFormat="1" applyFill="1"/>
    <xf numFmtId="0" fontId="0" fillId="6" borderId="0" xfId="0" applyFill="1"/>
    <xf numFmtId="165" fontId="0" fillId="6" borderId="0" xfId="0" applyNumberFormat="1" applyFill="1"/>
    <xf numFmtId="0" fontId="0" fillId="7" borderId="0" xfId="0" applyFill="1"/>
    <xf numFmtId="165" fontId="0" fillId="7" borderId="0" xfId="0" applyNumberFormat="1" applyFill="1"/>
    <xf numFmtId="0" fontId="8" fillId="4" borderId="0" xfId="0" applyFont="1" applyFill="1"/>
    <xf numFmtId="167" fontId="0" fillId="4" borderId="0" xfId="0" applyNumberFormat="1" applyFill="1"/>
    <xf numFmtId="0" fontId="0" fillId="4" borderId="0" xfId="0" applyFill="1" applyAlignment="1">
      <alignment horizontal="center" wrapText="1"/>
    </xf>
    <xf numFmtId="167" fontId="0" fillId="3" borderId="0" xfId="0" applyNumberFormat="1" applyFill="1"/>
    <xf numFmtId="167" fontId="0" fillId="5" borderId="0" xfId="0" applyNumberFormat="1" applyFill="1"/>
    <xf numFmtId="167" fontId="0" fillId="6" borderId="0" xfId="0" applyNumberFormat="1" applyFill="1"/>
    <xf numFmtId="167" fontId="0" fillId="7" borderId="0" xfId="0" applyNumberFormat="1" applyFill="1"/>
    <xf numFmtId="0" fontId="0" fillId="8" borderId="0" xfId="0" applyFill="1"/>
    <xf numFmtId="166" fontId="0" fillId="0" borderId="0" xfId="0" applyNumberFormat="1"/>
    <xf numFmtId="166" fontId="0" fillId="8" borderId="0" xfId="0" applyNumberFormat="1" applyFill="1"/>
    <xf numFmtId="0" fontId="0" fillId="8" borderId="0" xfId="0" applyFill="1" applyAlignment="1">
      <alignment wrapText="1"/>
    </xf>
    <xf numFmtId="15" fontId="0" fillId="8" borderId="0" xfId="0" applyNumberFormat="1" applyFill="1"/>
    <xf numFmtId="15" fontId="0" fillId="8" borderId="0" xfId="0" applyNumberFormat="1" applyFill="1" applyAlignment="1">
      <alignment wrapText="1"/>
    </xf>
    <xf numFmtId="0" fontId="10" fillId="8" borderId="0" xfId="0" applyFont="1" applyFill="1"/>
    <xf numFmtId="164" fontId="1" fillId="8" borderId="3" xfId="0" applyNumberFormat="1" applyFont="1" applyFill="1" applyBorder="1"/>
    <xf numFmtId="164" fontId="1" fillId="8" borderId="4" xfId="0" applyNumberFormat="1" applyFont="1" applyFill="1" applyBorder="1"/>
    <xf numFmtId="164" fontId="1" fillId="8" borderId="5" xfId="0" applyNumberFormat="1" applyFont="1" applyFill="1" applyBorder="1"/>
    <xf numFmtId="164" fontId="1" fillId="8" borderId="0" xfId="0" applyNumberFormat="1" applyFont="1" applyFill="1"/>
    <xf numFmtId="0" fontId="0" fillId="8" borderId="0" xfId="0" applyFill="1" applyAlignment="1">
      <alignment vertical="center" textRotation="90"/>
    </xf>
    <xf numFmtId="0" fontId="1" fillId="8" borderId="0" xfId="0" applyFont="1" applyFill="1" applyAlignment="1">
      <alignment horizontal="right"/>
    </xf>
    <xf numFmtId="0" fontId="0" fillId="8" borderId="3" xfId="0" applyFill="1" applyBorder="1"/>
    <xf numFmtId="0" fontId="0" fillId="8" borderId="4" xfId="0" applyFill="1" applyBorder="1"/>
    <xf numFmtId="0" fontId="0" fillId="8" borderId="5" xfId="0" applyFill="1" applyBorder="1"/>
    <xf numFmtId="0" fontId="0" fillId="0" borderId="0" xfId="0" quotePrefix="1"/>
    <xf numFmtId="0" fontId="4" fillId="2" borderId="0" xfId="1" applyProtection="1"/>
    <xf numFmtId="0" fontId="1" fillId="0" borderId="0" xfId="0" applyFont="1" applyAlignment="1">
      <alignment wrapText="1"/>
    </xf>
    <xf numFmtId="164" fontId="0" fillId="0" borderId="0" xfId="0" applyNumberFormat="1" applyAlignment="1" applyProtection="1">
      <alignment vertical="center"/>
      <protection locked="0"/>
    </xf>
    <xf numFmtId="0" fontId="0" fillId="10" borderId="0" xfId="0" applyFill="1"/>
    <xf numFmtId="0" fontId="11" fillId="2" borderId="0" xfId="4" applyFont="1" applyFill="1" applyAlignment="1" applyProtection="1">
      <alignment horizontal="right"/>
    </xf>
    <xf numFmtId="0" fontId="0" fillId="0" borderId="0" xfId="0" applyAlignment="1" applyProtection="1">
      <alignment vertical="center"/>
      <protection locked="0"/>
    </xf>
    <xf numFmtId="0" fontId="17" fillId="4" borderId="0" xfId="8" applyFill="1" applyProtection="1"/>
    <xf numFmtId="0" fontId="0" fillId="4" borderId="0" xfId="0" applyFill="1" applyAlignment="1">
      <alignment horizontal="right"/>
    </xf>
    <xf numFmtId="0" fontId="14" fillId="10" borderId="0" xfId="0" applyFont="1" applyFill="1"/>
    <xf numFmtId="166" fontId="0" fillId="4" borderId="0" xfId="0" applyNumberFormat="1" applyFill="1"/>
    <xf numFmtId="0" fontId="14" fillId="11" borderId="0" xfId="0" applyFont="1" applyFill="1"/>
    <xf numFmtId="0" fontId="17" fillId="4" borderId="0" xfId="8" applyFill="1"/>
    <xf numFmtId="0" fontId="17" fillId="4" borderId="0" xfId="8" applyFill="1" applyAlignment="1">
      <alignment horizontal="left" vertical="center"/>
    </xf>
    <xf numFmtId="0" fontId="14" fillId="12" borderId="0" xfId="0" applyFont="1" applyFill="1"/>
    <xf numFmtId="0" fontId="15" fillId="0" borderId="0" xfId="9" applyProtection="1">
      <protection locked="0"/>
    </xf>
    <xf numFmtId="0" fontId="1" fillId="4" borderId="0" xfId="0" applyFont="1" applyFill="1"/>
    <xf numFmtId="167" fontId="1" fillId="4" borderId="0" xfId="0" applyNumberFormat="1" applyFont="1" applyFill="1"/>
    <xf numFmtId="0" fontId="1" fillId="0" borderId="0" xfId="0" applyFont="1"/>
    <xf numFmtId="49" fontId="0" fillId="0" borderId="0" xfId="0" applyNumberFormat="1" applyProtection="1">
      <protection locked="0"/>
    </xf>
    <xf numFmtId="0" fontId="15" fillId="4" borderId="0" xfId="9" applyFill="1" applyProtection="1">
      <protection locked="0"/>
    </xf>
    <xf numFmtId="167" fontId="0" fillId="0" borderId="0" xfId="0" applyNumberFormat="1" applyProtection="1">
      <protection locked="0"/>
    </xf>
    <xf numFmtId="0" fontId="0" fillId="0" borderId="0" xfId="0" applyAlignment="1">
      <alignment horizontal="center"/>
    </xf>
    <xf numFmtId="166" fontId="5" fillId="0" borderId="0" xfId="0" applyNumberFormat="1" applyFont="1" applyProtection="1">
      <protection locked="0"/>
    </xf>
    <xf numFmtId="166" fontId="0" fillId="0" borderId="0" xfId="0" applyNumberFormat="1" applyProtection="1">
      <protection locked="0"/>
    </xf>
    <xf numFmtId="0" fontId="16" fillId="12" borderId="7" xfId="2" applyFont="1" applyFill="1" applyBorder="1" applyAlignment="1">
      <alignment horizontal="left" vertical="center" indent="5"/>
    </xf>
    <xf numFmtId="0" fontId="16" fillId="12" borderId="8" xfId="2" applyFont="1" applyFill="1" applyBorder="1">
      <alignment vertical="center"/>
    </xf>
    <xf numFmtId="0" fontId="11" fillId="12" borderId="8" xfId="4" applyFont="1" applyFill="1" applyBorder="1" applyAlignment="1" applyProtection="1">
      <alignment horizontal="right" vertical="center"/>
    </xf>
    <xf numFmtId="0" fontId="11" fillId="12" borderId="9" xfId="4" applyFont="1" applyFill="1" applyBorder="1" applyAlignment="1" applyProtection="1">
      <alignment horizontal="right" vertical="center" indent="4"/>
    </xf>
    <xf numFmtId="0" fontId="16" fillId="11" borderId="10" xfId="2" applyFont="1" applyFill="1" applyBorder="1" applyAlignment="1">
      <alignment horizontal="left" vertical="center" indent="5"/>
    </xf>
    <xf numFmtId="0" fontId="13" fillId="11" borderId="11" xfId="2" applyFill="1" applyBorder="1">
      <alignment vertical="center"/>
    </xf>
    <xf numFmtId="0" fontId="11" fillId="11" borderId="11" xfId="4" applyFont="1" applyFill="1" applyBorder="1" applyAlignment="1" applyProtection="1">
      <alignment horizontal="right" vertical="center"/>
    </xf>
    <xf numFmtId="0" fontId="11" fillId="11" borderId="12" xfId="4" applyFont="1" applyFill="1" applyBorder="1" applyAlignment="1" applyProtection="1">
      <alignment horizontal="right" vertical="center" indent="4"/>
    </xf>
    <xf numFmtId="0" fontId="16" fillId="10" borderId="13" xfId="2" applyFont="1" applyFill="1" applyBorder="1" applyAlignment="1">
      <alignment horizontal="left" vertical="center" indent="5"/>
    </xf>
    <xf numFmtId="0" fontId="16" fillId="10" borderId="14" xfId="2" applyFont="1" applyFill="1" applyBorder="1">
      <alignment vertical="center"/>
    </xf>
    <xf numFmtId="0" fontId="11" fillId="10" borderId="14" xfId="4" applyFont="1" applyFill="1" applyBorder="1" applyAlignment="1" applyProtection="1">
      <alignment horizontal="right" vertical="center"/>
    </xf>
    <xf numFmtId="0" fontId="11" fillId="10" borderId="15" xfId="4" applyFont="1" applyFill="1" applyBorder="1" applyAlignment="1" applyProtection="1">
      <alignment horizontal="right" vertical="center" indent="4"/>
    </xf>
    <xf numFmtId="168" fontId="0" fillId="0" borderId="0" xfId="0" applyNumberFormat="1"/>
    <xf numFmtId="164" fontId="0" fillId="4" borderId="0" xfId="0" applyNumberFormat="1" applyFill="1"/>
    <xf numFmtId="167" fontId="0" fillId="4" borderId="3" xfId="0" applyNumberFormat="1" applyFill="1" applyBorder="1"/>
    <xf numFmtId="0" fontId="17" fillId="0" borderId="0" xfId="8"/>
    <xf numFmtId="0" fontId="15" fillId="4" borderId="0" xfId="9" applyFill="1">
      <protection hidden="1"/>
    </xf>
    <xf numFmtId="0" fontId="15" fillId="4" borderId="0" xfId="9" applyFill="1" applyProtection="1"/>
    <xf numFmtId="0" fontId="21" fillId="0" borderId="0" xfId="0" applyFont="1" applyAlignment="1">
      <alignment vertical="center" wrapText="1"/>
    </xf>
    <xf numFmtId="0" fontId="21" fillId="0" borderId="0" xfId="0" applyFont="1" applyAlignment="1">
      <alignment horizontal="right" vertical="center" wrapText="1"/>
    </xf>
    <xf numFmtId="0" fontId="22" fillId="15" borderId="20" xfId="0" applyFont="1" applyFill="1" applyBorder="1" applyAlignment="1">
      <alignment horizontal="center" vertical="center" wrapText="1"/>
    </xf>
    <xf numFmtId="15" fontId="23" fillId="0" borderId="0" xfId="0" applyNumberFormat="1" applyFont="1" applyAlignment="1">
      <alignment vertical="top" wrapText="1"/>
    </xf>
    <xf numFmtId="0" fontId="23" fillId="0" borderId="0" xfId="0" applyFont="1" applyAlignment="1">
      <alignment vertical="top" wrapText="1"/>
    </xf>
    <xf numFmtId="0" fontId="17" fillId="0" borderId="0" xfId="8" applyAlignment="1" applyProtection="1">
      <alignment vertical="top" wrapText="1"/>
    </xf>
    <xf numFmtId="0" fontId="24" fillId="0" borderId="0" xfId="0" applyFont="1" applyAlignment="1">
      <alignment vertical="top" wrapText="1"/>
    </xf>
    <xf numFmtId="0" fontId="2" fillId="8" borderId="6" xfId="3" applyAlignment="1" applyProtection="1">
      <alignment vertical="top" wrapText="1"/>
    </xf>
    <xf numFmtId="0" fontId="15" fillId="0" borderId="0" xfId="9" applyProtection="1"/>
    <xf numFmtId="0" fontId="17" fillId="0" borderId="0" xfId="8" applyProtection="1"/>
    <xf numFmtId="15" fontId="24" fillId="0" borderId="0" xfId="0" applyNumberFormat="1" applyFont="1" applyAlignment="1">
      <alignment vertical="top" wrapText="1"/>
    </xf>
    <xf numFmtId="0" fontId="15" fillId="4" borderId="0" xfId="9" applyFill="1" applyAlignment="1">
      <alignment horizontal="left" vertical="top" wrapText="1"/>
      <protection hidden="1"/>
    </xf>
    <xf numFmtId="0" fontId="2" fillId="8" borderId="6" xfId="3" applyAlignment="1">
      <alignment horizontal="left" vertical="top" wrapText="1"/>
      <protection locked="0"/>
    </xf>
    <xf numFmtId="0" fontId="13" fillId="9" borderId="0" xfId="2" applyAlignment="1">
      <alignment horizontal="left" vertical="center"/>
    </xf>
    <xf numFmtId="0" fontId="13" fillId="9" borderId="0" xfId="2">
      <alignment vertical="center"/>
    </xf>
    <xf numFmtId="0" fontId="15" fillId="4" borderId="0" xfId="9" applyFill="1" applyAlignment="1">
      <alignment horizontal="left" vertical="top" wrapText="1"/>
      <protection hidden="1"/>
    </xf>
    <xf numFmtId="0" fontId="15" fillId="4" borderId="0" xfId="9" applyFill="1" applyAlignment="1">
      <alignment horizontal="left" vertical="top"/>
      <protection hidden="1"/>
    </xf>
    <xf numFmtId="0" fontId="2" fillId="8" borderId="6" xfId="3">
      <protection locked="0"/>
    </xf>
    <xf numFmtId="49" fontId="2" fillId="8" borderId="6" xfId="3" quotePrefix="1" applyNumberFormat="1" applyAlignment="1">
      <alignment horizontal="left"/>
      <protection locked="0"/>
    </xf>
    <xf numFmtId="49" fontId="2" fillId="8" borderId="6" xfId="3" applyNumberFormat="1" applyAlignment="1">
      <alignment horizontal="left"/>
      <protection locked="0"/>
    </xf>
    <xf numFmtId="0" fontId="2" fillId="8" borderId="6" xfId="3" applyAlignment="1">
      <alignment horizontal="left"/>
      <protection locked="0"/>
    </xf>
    <xf numFmtId="0" fontId="15" fillId="0" borderId="0" xfId="9" applyFill="1" applyAlignment="1">
      <alignment horizontal="left" vertical="top" wrapText="1"/>
      <protection hidden="1"/>
    </xf>
    <xf numFmtId="0" fontId="15" fillId="0" borderId="0" xfId="9" applyAlignment="1">
      <alignment horizontal="left" vertical="top" wrapText="1"/>
      <protection hidden="1"/>
    </xf>
    <xf numFmtId="0" fontId="0" fillId="8" borderId="1" xfId="0" applyFill="1" applyBorder="1" applyAlignment="1">
      <alignment horizontal="center" vertical="center" textRotation="90"/>
    </xf>
    <xf numFmtId="0" fontId="0" fillId="8" borderId="0" xfId="0" applyFill="1" applyAlignment="1">
      <alignment horizontal="center" vertical="center" textRotation="90"/>
    </xf>
    <xf numFmtId="0" fontId="0" fillId="8" borderId="2" xfId="0" applyFill="1" applyBorder="1" applyAlignment="1">
      <alignment horizontal="center" vertical="center" textRotation="90"/>
    </xf>
  </cellXfs>
  <cellStyles count="14">
    <cellStyle name="Ausgabe" xfId="10" builtinId="21" hidden="1"/>
    <cellStyle name="Berechnung" xfId="11" builtinId="22" hidden="1"/>
    <cellStyle name="Besuchter Hyperlink" xfId="5" builtinId="9" customBuiltin="1"/>
    <cellStyle name="Eingabe" xfId="3" builtinId="20" customBuiltin="1"/>
    <cellStyle name="Erklärender Text" xfId="9" builtinId="53" customBuiltin="1"/>
    <cellStyle name="Link" xfId="4" builtinId="8" customBuiltin="1"/>
    <cellStyle name="Prozent" xfId="6" builtinId="5"/>
    <cellStyle name="Standard" xfId="0" builtinId="0"/>
    <cellStyle name="Überschrift" xfId="1" builtinId="15" customBuiltin="1"/>
    <cellStyle name="Überschrift 1" xfId="2" builtinId="16" customBuiltin="1"/>
    <cellStyle name="Überschrift 2" xfId="7" builtinId="17" customBuiltin="1"/>
    <cellStyle name="Verknüpfte Zelle" xfId="12" builtinId="24" hidden="1"/>
    <cellStyle name="Warnender Text" xfId="8" builtinId="11" customBuiltin="1"/>
    <cellStyle name="Zelle überprüfen" xfId="13" builtinId="23" hidden="1"/>
  </cellStyles>
  <dxfs count="115">
    <dxf>
      <numFmt numFmtId="164" formatCode="#,##0.0;[Red]\-#,##0.0;\-"/>
    </dxf>
    <dxf>
      <font>
        <b/>
        <i val="0"/>
        <color theme="0"/>
      </font>
      <fill>
        <patternFill>
          <bgColor rgb="FF58585A"/>
        </patternFill>
      </fill>
      <border>
        <left/>
        <right/>
        <top/>
        <bottom/>
        <vertical/>
        <horizontal/>
      </border>
    </dxf>
    <dxf>
      <font>
        <b/>
        <i val="0"/>
        <color theme="0"/>
      </font>
      <fill>
        <patternFill>
          <bgColor rgb="FF418321"/>
        </patternFill>
      </fill>
      <border>
        <left/>
        <right/>
        <top/>
        <bottom/>
      </border>
    </dxf>
    <dxf>
      <font>
        <b/>
        <i val="0"/>
        <color theme="0"/>
      </font>
      <fill>
        <patternFill>
          <bgColor rgb="FFCE3B17"/>
        </patternFill>
      </fill>
      <border>
        <left/>
        <right/>
        <top/>
        <bottom/>
      </border>
    </dxf>
    <dxf>
      <font>
        <b val="0"/>
        <i val="0"/>
        <strike val="0"/>
        <condense val="0"/>
        <extend val="0"/>
        <outline val="0"/>
        <shadow val="0"/>
        <u val="none"/>
        <vertAlign val="baseline"/>
        <sz val="11"/>
        <color theme="1"/>
        <name val="Franklin Gothic Book"/>
        <family val="2"/>
        <scheme val="none"/>
      </font>
      <alignment horizontal="right" vertical="center" textRotation="0" wrapText="1" indent="0" justifyLastLine="0" shrinkToFit="0" readingOrder="0"/>
    </dxf>
    <dxf>
      <font>
        <b val="0"/>
        <i val="0"/>
        <strike val="0"/>
        <condense val="0"/>
        <extend val="0"/>
        <outline val="0"/>
        <shadow val="0"/>
        <u val="none"/>
        <vertAlign val="baseline"/>
        <sz val="11"/>
        <color theme="1"/>
        <name val="Franklin Gothic Book"/>
        <family val="2"/>
        <scheme val="none"/>
      </font>
      <numFmt numFmtId="0" formatCode="General"/>
      <alignment horizontal="right" vertical="center" textRotation="0" wrapText="1" indent="0" justifyLastLine="0" shrinkToFit="0" readingOrder="0"/>
    </dxf>
    <dxf>
      <font>
        <b val="0"/>
        <i val="0"/>
        <strike val="0"/>
        <condense val="0"/>
        <extend val="0"/>
        <outline val="0"/>
        <shadow val="0"/>
        <u val="none"/>
        <vertAlign val="baseline"/>
        <sz val="11"/>
        <color theme="1"/>
        <name val="Franklin Gothic Book"/>
        <family val="2"/>
        <scheme val="none"/>
      </font>
      <alignment horizontal="general" vertical="center" textRotation="0" wrapText="1" indent="0" justifyLastLine="0" shrinkToFit="0" readingOrder="0"/>
      <protection locked="1" hidden="0"/>
    </dxf>
    <dxf>
      <border diagonalUp="0" diagonalDown="0">
        <left style="medium">
          <color indexed="64"/>
        </left>
        <right style="medium">
          <color indexed="64"/>
        </right>
        <top style="medium">
          <color indexed="64"/>
        </top>
        <bottom style="medium">
          <color indexed="64"/>
        </bottom>
      </border>
    </dxf>
    <dxf>
      <protection locked="1" hidden="0"/>
    </dxf>
    <dxf>
      <border outline="0">
        <bottom style="medium">
          <color rgb="FFD1DCED"/>
        </bottom>
      </border>
    </dxf>
    <dxf>
      <font>
        <b val="0"/>
        <i val="0"/>
        <strike val="0"/>
        <condense val="0"/>
        <extend val="0"/>
        <outline val="0"/>
        <shadow val="0"/>
        <u val="none"/>
        <vertAlign val="baseline"/>
        <sz val="11"/>
        <color rgb="FFF5F7FA"/>
        <name val="Franklin Gothic Book"/>
        <family val="2"/>
        <scheme val="none"/>
      </font>
      <fill>
        <patternFill patternType="solid">
          <fgColor indexed="64"/>
          <bgColor theme="1"/>
        </patternFill>
      </fill>
      <alignment horizontal="center" vertical="center" textRotation="0" wrapText="1" indent="0" justifyLastLine="0" shrinkToFit="0" readingOrder="0"/>
      <border diagonalUp="0" diagonalDown="0">
        <left style="medium">
          <color rgb="FFD1DCED"/>
        </left>
        <right style="medium">
          <color rgb="FFD1DCED"/>
        </right>
        <top/>
        <bottom/>
      </border>
      <protection locked="1" hidden="0"/>
    </dxf>
    <dxf>
      <protection locked="0" hidden="0"/>
    </dxf>
    <dxf>
      <protection locked="0" hidden="0"/>
    </dxf>
    <dxf>
      <protection locked="0" hidden="0"/>
    </dxf>
    <dxf>
      <protection locked="0" hidden="0"/>
    </dxf>
    <dxf>
      <protection locked="0" hidden="0"/>
    </dxf>
    <dxf>
      <protection locked="0" hidden="0"/>
    </dxf>
    <dxf>
      <numFmt numFmtId="164" formatCode="#,##0.0;[Red]\-#,##0.0;\-"/>
      <protection locked="0" hidden="0"/>
    </dxf>
    <dxf>
      <numFmt numFmtId="164" formatCode="#,##0.0;[Red]\-#,##0.0;\-"/>
      <protection locked="0" hidden="0"/>
    </dxf>
    <dxf>
      <numFmt numFmtId="164" formatCode="#,##0.0;[Red]\-#,##0.0;\-"/>
      <protection locked="0" hidden="0"/>
    </dxf>
    <dxf>
      <protection locked="0" hidden="0"/>
    </dxf>
    <dxf>
      <protection locked="0" hidden="0"/>
    </dxf>
    <dxf>
      <protection locked="0" hidden="0"/>
    </dxf>
    <dxf>
      <protection locked="0" hidden="0"/>
    </dxf>
    <dxf>
      <protection locked="0" hidden="0"/>
    </dxf>
    <dxf>
      <protection locked="0" hidden="0"/>
    </dxf>
    <dxf>
      <alignment horizontal="center" vertical="bottom" textRotation="0" wrapText="1" indent="0" justifyLastLine="0" shrinkToFit="0" readingOrder="0"/>
    </dxf>
    <dxf>
      <numFmt numFmtId="164" formatCode="#,##0.0;[Red]\-#,##0.0;\-"/>
      <protection locked="0" hidden="0"/>
    </dxf>
    <dxf>
      <numFmt numFmtId="164" formatCode="#,##0.0;[Red]\-#,##0.0;\-"/>
      <protection locked="0" hidden="0"/>
    </dxf>
    <dxf>
      <protection locked="0" hidden="0"/>
    </dxf>
    <dxf>
      <numFmt numFmtId="164" formatCode="#,##0.0;[Red]\-#,##0.0;\-"/>
      <protection locked="0" hidden="0"/>
    </dxf>
    <dxf>
      <numFmt numFmtId="164" formatCode="#,##0.0;[Red]\-#,##0.0;\-"/>
      <protection locked="0" hidden="0"/>
    </dxf>
    <dxf>
      <protection locked="0" hidden="0"/>
    </dxf>
    <dxf>
      <protection locked="0" hidden="0"/>
    </dxf>
    <dxf>
      <alignment horizontal="center" vertical="bottom" textRotation="0" indent="0" justifyLastLine="0" shrinkToFit="0" readingOrder="0"/>
    </dxf>
    <dxf>
      <numFmt numFmtId="166" formatCode="#,##0.00;[Red]\-#,##0.00;\-"/>
      <alignment horizontal="right" vertical="bottom" textRotation="0" wrapText="0" indent="0" justifyLastLine="0" shrinkToFit="0" readingOrder="0"/>
      <protection locked="0" hidden="0"/>
    </dxf>
    <dxf>
      <numFmt numFmtId="164" formatCode="#,##0.0;[Red]\-#,##0.0;\-"/>
      <alignment horizontal="right" vertical="bottom" textRotation="0" wrapText="0" indent="0" justifyLastLine="0" shrinkToFit="0" readingOrder="0"/>
      <protection locked="0" hidden="0"/>
    </dxf>
    <dxf>
      <numFmt numFmtId="167" formatCode="#,##0;[Red]\-#,##0;\-"/>
      <protection locked="0" hidden="0"/>
    </dxf>
    <dxf>
      <numFmt numFmtId="167" formatCode="#,##0;[Red]\-#,##0;\-"/>
      <protection locked="0" hidden="0"/>
    </dxf>
    <dxf>
      <protection locked="0" hidden="0"/>
    </dxf>
    <dxf>
      <protection locked="0" hidden="0"/>
    </dxf>
    <dxf>
      <protection locked="0" hidden="0"/>
    </dxf>
    <dxf>
      <protection locked="1" hidden="0"/>
    </dxf>
    <dxf>
      <protection locked="0" hidden="0"/>
    </dxf>
    <dxf>
      <alignment horizontal="center" vertical="bottom" textRotation="0" wrapText="1" indent="0" justifyLastLine="0" shrinkToFit="0" readingOrder="0"/>
      <protection locked="1" hidden="0"/>
    </dxf>
    <dxf>
      <alignment horizontal="right" vertical="bottom" textRotation="0" wrapText="0" indent="0" justifyLastLine="0" shrinkToFit="0" readingOrder="0"/>
      <protection locked="0" hidden="0"/>
    </dxf>
    <dxf>
      <numFmt numFmtId="164" formatCode="#,##0.0;[Red]\-#,##0.0;\-"/>
      <alignment horizontal="right" vertical="bottom" textRotation="0" wrapText="0" indent="0" justifyLastLine="0" shrinkToFit="0" readingOrder="0"/>
      <protection locked="0" hidden="0"/>
    </dxf>
    <dxf>
      <numFmt numFmtId="164" formatCode="#,##0.0;[Red]\-#,##0.0;\-"/>
      <protection locked="0" hidden="0"/>
    </dxf>
    <dxf>
      <protection locked="0" hidden="0"/>
    </dxf>
    <dxf>
      <protection locked="0" hidden="0"/>
    </dxf>
    <dxf>
      <numFmt numFmtId="164" formatCode="#,##0.0;[Red]\-#,##0.0;\-"/>
      <protection locked="0" hidden="0"/>
    </dxf>
    <dxf>
      <protection locked="0" hidden="0"/>
    </dxf>
    <dxf>
      <protection locked="0" hidden="0"/>
    </dxf>
    <dxf>
      <protection locked="1" hidden="0"/>
    </dxf>
    <dxf>
      <protection locked="0" hidden="0"/>
    </dxf>
    <dxf>
      <alignment horizontal="center" vertical="bottom" textRotation="0" wrapText="1" indent="0" justifyLastLine="0" shrinkToFit="0" readingOrder="0"/>
      <protection locked="1" hidden="0"/>
    </dxf>
    <dxf>
      <numFmt numFmtId="166" formatCode="#,##0.00;[Red]\-#,##0.00;\-"/>
      <fill>
        <patternFill patternType="none">
          <fgColor indexed="64"/>
          <bgColor indexed="65"/>
        </patternFill>
      </fill>
      <protection locked="0" hidden="0"/>
    </dxf>
    <dxf>
      <numFmt numFmtId="166" formatCode="#,##0.00;[Red]\-#,##0.00;\-"/>
      <fill>
        <patternFill patternType="none">
          <fgColor indexed="64"/>
          <bgColor indexed="65"/>
        </patternFill>
      </fill>
      <protection locked="0" hidden="0"/>
    </dxf>
    <dxf>
      <numFmt numFmtId="166" formatCode="#,##0.00;[Red]\-#,##0.00;\-"/>
      <fill>
        <patternFill patternType="none">
          <fgColor indexed="64"/>
          <bgColor indexed="65"/>
        </patternFill>
      </fill>
      <protection locked="0" hidden="0"/>
    </dxf>
    <dxf>
      <numFmt numFmtId="166" formatCode="#,##0.00;[Red]\-#,##0.00;\-"/>
      <fill>
        <patternFill patternType="none">
          <fgColor indexed="64"/>
          <bgColor indexed="65"/>
        </patternFill>
      </fill>
      <protection locked="0" hidden="0"/>
    </dxf>
    <dxf>
      <numFmt numFmtId="166" formatCode="#,##0.00;[Red]\-#,##0.00;\-"/>
      <fill>
        <patternFill patternType="none">
          <fgColor indexed="64"/>
          <bgColor auto="1"/>
        </patternFill>
      </fill>
      <protection locked="0" hidden="0"/>
    </dxf>
    <dxf>
      <font>
        <strike val="0"/>
        <outline val="0"/>
        <shadow val="0"/>
        <u val="none"/>
        <vertAlign val="baseline"/>
        <sz val="11"/>
        <color auto="1"/>
        <name val="Arial"/>
        <family val="2"/>
        <scheme val="minor"/>
      </font>
      <numFmt numFmtId="166" formatCode="#,##0.00;[Red]\-#,##0.00;\-"/>
      <fill>
        <patternFill patternType="none">
          <fgColor indexed="64"/>
          <bgColor auto="1"/>
        </patternFill>
      </fill>
      <protection locked="0" hidden="0"/>
    </dxf>
    <dxf>
      <numFmt numFmtId="164" formatCode="#,##0.0;[Red]\-#,##0.0;\-"/>
    </dxf>
    <dxf>
      <numFmt numFmtId="167" formatCode="#,##0;[Red]\-#,##0;\-"/>
      <fill>
        <patternFill patternType="none">
          <fgColor indexed="64"/>
          <bgColor indexed="65"/>
        </patternFill>
      </fill>
      <protection locked="0" hidden="0"/>
    </dxf>
    <dxf>
      <numFmt numFmtId="164" formatCode="#,##0.0;[Red]\-#,##0.0;\-"/>
    </dxf>
    <dxf>
      <numFmt numFmtId="167" formatCode="#,##0;[Red]\-#,##0;\-"/>
      <fill>
        <patternFill patternType="none">
          <fgColor indexed="64"/>
          <bgColor indexed="65"/>
        </patternFill>
      </fill>
      <protection locked="0" hidden="0"/>
    </dxf>
    <dxf>
      <numFmt numFmtId="164" formatCode="#,##0.0;[Red]\-#,##0.0;\-"/>
    </dxf>
    <dxf>
      <numFmt numFmtId="167" formatCode="#,##0;[Red]\-#,##0;\-"/>
      <fill>
        <patternFill patternType="none">
          <fgColor indexed="64"/>
          <bgColor auto="1"/>
        </patternFill>
      </fill>
      <protection locked="0" hidden="0"/>
    </dxf>
    <dxf>
      <numFmt numFmtId="167" formatCode="#,##0;[Red]\-#,##0;\-"/>
      <protection locked="0" hidden="0"/>
    </dxf>
    <dxf>
      <numFmt numFmtId="167" formatCode="#,##0;[Red]\-#,##0;\-"/>
      <protection locked="0" hidden="0"/>
    </dxf>
    <dxf>
      <numFmt numFmtId="167" formatCode="#,##0;[Red]\-#,##0;\-"/>
      <protection locked="0" hidden="0"/>
    </dxf>
    <dxf>
      <protection locked="0" hidden="0"/>
    </dxf>
    <dxf>
      <protection locked="0" hidden="0"/>
    </dxf>
    <dxf>
      <protection locked="1" hidden="0"/>
    </dxf>
    <dxf>
      <protection locked="0" hidden="0"/>
    </dxf>
    <dxf>
      <alignment horizontal="center" vertical="bottom" textRotation="0" wrapText="1" indent="0" justifyLastLine="0" shrinkToFit="0" readingOrder="0"/>
      <protection locked="1" hidden="0"/>
    </dxf>
    <dxf>
      <numFmt numFmtId="164" formatCode="#,##0.0;[Red]\-#,##0.0;\-"/>
      <protection locked="0" hidden="0"/>
    </dxf>
    <dxf>
      <protection locked="0" hidden="0"/>
    </dxf>
    <dxf>
      <protection locked="0" hidden="0"/>
    </dxf>
    <dxf>
      <protection locked="0" hidden="0"/>
    </dxf>
    <dxf>
      <protection locked="1" hidden="0"/>
    </dxf>
    <dxf>
      <protection locked="0" hidden="0"/>
    </dxf>
    <dxf>
      <protection locked="1" hidden="0"/>
    </dxf>
    <dxf>
      <numFmt numFmtId="164" formatCode="#,##0.0;[Red]\-#,##0.0;\-"/>
      <alignment horizontal="general" vertical="center" textRotation="0" wrapText="0" indent="0" justifyLastLine="0" shrinkToFit="0" readingOrder="0"/>
      <protection locked="0" hidden="0"/>
    </dxf>
    <dxf>
      <numFmt numFmtId="164" formatCode="#,##0.0;[Red]\-#,##0.0;\-"/>
      <fill>
        <patternFill patternType="none">
          <fgColor indexed="64"/>
          <bgColor indexed="65"/>
        </patternFill>
      </fill>
      <alignment horizontal="general" vertical="center" textRotation="0" wrapText="0" indent="0" justifyLastLine="0" shrinkToFit="0" readingOrder="0"/>
      <protection locked="0" hidden="0"/>
    </dxf>
    <dxf>
      <alignment horizontal="general" vertical="center" textRotation="0" wrapText="0" indent="0" justifyLastLine="0" shrinkToFit="0" readingOrder="0"/>
      <protection locked="0" hidden="0"/>
    </dxf>
    <dxf>
      <numFmt numFmtId="164" formatCode="#,##0.0;[Red]\-#,##0.0;\-"/>
      <fill>
        <patternFill patternType="none">
          <fgColor indexed="64"/>
          <bgColor indexed="65"/>
        </patternFill>
      </fill>
      <alignment horizontal="general" vertical="center" textRotation="0" wrapText="0" indent="0" justifyLastLine="0" shrinkToFit="0" readingOrder="0"/>
      <protection locked="0" hidden="0"/>
    </dxf>
    <dxf>
      <alignment horizontal="general" vertical="center" textRotation="0" wrapText="0" indent="0" justifyLastLine="0" shrinkToFit="0" readingOrder="0"/>
      <protection locked="0" hidden="0"/>
    </dxf>
    <dxf>
      <numFmt numFmtId="164" formatCode="#,##0.0;[Red]\-#,##0.0;\-"/>
      <fill>
        <patternFill patternType="none">
          <fgColor indexed="64"/>
          <bgColor indexed="65"/>
        </patternFill>
      </fill>
      <alignment horizontal="general" vertical="center" textRotation="0" wrapText="0" indent="0" justifyLastLine="0" shrinkToFit="0" readingOrder="0"/>
      <protection locked="0" hidden="0"/>
    </dxf>
    <dxf>
      <protection locked="1" hidden="0"/>
    </dxf>
    <dxf>
      <protection locked="1" hidden="0"/>
    </dxf>
    <dxf>
      <protection locked="1" hidden="0"/>
    </dxf>
    <dxf>
      <numFmt numFmtId="164" formatCode="#,##0.0;[Red]\-#,##0.0;\-"/>
    </dxf>
    <dxf>
      <numFmt numFmtId="164" formatCode="#,##0.0;[Red]\-#,##0.0;\-"/>
      <fill>
        <patternFill patternType="none">
          <fgColor indexed="64"/>
          <bgColor auto="1"/>
        </patternFill>
      </fill>
      <protection locked="0" hidden="0"/>
    </dxf>
    <dxf>
      <numFmt numFmtId="164" formatCode="#,##0.0;[Red]\-#,##0.0;\-"/>
    </dxf>
    <dxf>
      <numFmt numFmtId="164" formatCode="#,##0.0;[Red]\-#,##0.0;\-"/>
      <fill>
        <patternFill patternType="none">
          <fgColor indexed="64"/>
          <bgColor auto="1"/>
        </patternFill>
      </fill>
      <protection locked="0" hidden="0"/>
    </dxf>
    <dxf>
      <numFmt numFmtId="164" formatCode="#,##0.0;[Red]\-#,##0.0;\-"/>
    </dxf>
    <dxf>
      <numFmt numFmtId="164" formatCode="#,##0.0;[Red]\-#,##0.0;\-"/>
      <fill>
        <patternFill patternType="none">
          <fgColor indexed="64"/>
          <bgColor auto="1"/>
        </patternFill>
      </fill>
      <protection locked="0" hidden="0"/>
    </dxf>
    <dxf>
      <fill>
        <patternFill patternType="none">
          <fgColor indexed="64"/>
          <bgColor auto="1"/>
        </patternFill>
      </fill>
      <protection locked="1" hidden="0"/>
    </dxf>
    <dxf>
      <fill>
        <patternFill patternType="none">
          <fgColor indexed="64"/>
          <bgColor auto="1"/>
        </patternFill>
      </fill>
      <protection locked="1" hidden="0"/>
    </dxf>
    <dxf>
      <fill>
        <patternFill patternType="none">
          <fgColor indexed="64"/>
          <bgColor auto="1"/>
        </patternFill>
      </fill>
      <protection locked="1" hidden="0"/>
    </dxf>
    <dxf>
      <font>
        <b/>
        <i val="0"/>
        <strike val="0"/>
        <condense val="0"/>
        <extend val="0"/>
        <outline val="0"/>
        <shadow val="0"/>
        <u val="none"/>
        <vertAlign val="baseline"/>
        <sz val="11"/>
        <color theme="1"/>
        <name val="Arial"/>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bottom/>
      </border>
      <protection locked="1" hidden="0"/>
    </dxf>
    <dxf>
      <protection locked="0" hidden="0"/>
    </dxf>
    <dxf>
      <protection locked="0" hidden="0"/>
    </dxf>
    <dxf>
      <protection locked="0" hidden="0"/>
    </dxf>
    <dxf>
      <protection locked="0" hidden="0"/>
    </dxf>
    <dxf>
      <numFmt numFmtId="30" formatCode="@"/>
      <protection locked="0" hidden="0"/>
    </dxf>
    <dxf>
      <protection locked="0" hidden="0"/>
    </dxf>
    <dxf>
      <protection locked="0" hidden="0"/>
    </dxf>
    <dxf>
      <protection locked="0" hidden="0"/>
    </dxf>
    <dxf>
      <fill>
        <patternFill>
          <bgColor rgb="FFA0BADA"/>
        </patternFill>
      </fill>
      <border diagonalUp="1" diagonalDown="0">
        <left style="thin">
          <color rgb="FFA0BADA"/>
        </left>
        <right style="medium">
          <color theme="1"/>
        </right>
        <top style="medium">
          <color theme="1"/>
        </top>
        <bottom style="medium">
          <color theme="1"/>
        </bottom>
        <diagonal style="medium">
          <color theme="1"/>
        </diagonal>
        <vertical/>
        <horizontal style="thin">
          <color rgb="FFA0BADA"/>
        </horizontal>
      </border>
    </dxf>
    <dxf>
      <fill>
        <patternFill>
          <bgColor rgb="FFA0BADA"/>
        </patternFill>
      </fill>
      <border diagonalUp="0" diagonalDown="0">
        <left style="medium">
          <color theme="1"/>
        </left>
        <right style="thin">
          <color rgb="FFA0BADA"/>
        </right>
        <top style="medium">
          <color theme="1"/>
        </top>
        <bottom style="medium">
          <color theme="1"/>
        </bottom>
        <vertical/>
        <horizontal style="thin">
          <color rgb="FFA0BADA"/>
        </horizontal>
      </border>
    </dxf>
    <dxf>
      <font>
        <b val="0"/>
        <i val="0"/>
        <strike val="0"/>
        <u val="none"/>
        <color theme="1"/>
      </font>
      <fill>
        <patternFill>
          <bgColor rgb="FFA0BADA"/>
        </patternFill>
      </fill>
      <border diagonalUp="0" diagonalDown="0">
        <left style="medium">
          <color auto="1"/>
        </left>
        <right style="medium">
          <color auto="1"/>
        </right>
        <top/>
        <bottom style="medium">
          <color auto="1"/>
        </bottom>
        <vertical/>
        <horizontal/>
      </border>
    </dxf>
    <dxf>
      <fill>
        <patternFill patternType="solid">
          <bgColor rgb="FFA0BADA"/>
        </patternFill>
      </fill>
      <border diagonalUp="0" diagonalDown="0">
        <left style="medium">
          <color theme="1"/>
        </left>
        <right style="medium">
          <color theme="1"/>
        </right>
        <top style="medium">
          <color theme="1"/>
        </top>
        <bottom/>
        <vertical/>
        <horizontal/>
      </border>
    </dxf>
    <dxf>
      <fill>
        <patternFill>
          <bgColor rgb="FFD1DCED"/>
        </patternFill>
      </fill>
      <border diagonalUp="0" diagonalDown="0">
        <left style="medium">
          <color theme="1"/>
        </left>
        <right style="medium">
          <color theme="1"/>
        </right>
        <top style="medium">
          <color theme="1"/>
        </top>
        <bottom style="medium">
          <color theme="1"/>
        </bottom>
        <vertical/>
        <horizontal style="dashed">
          <color rgb="FFA0BADA"/>
        </horizontal>
      </border>
    </dxf>
  </dxfs>
  <tableStyles count="1" defaultTableStyle="Eingabetabelle" defaultPivotStyle="PivotStyleLight16">
    <tableStyle name="Eingabetabelle" pivot="0" count="5" xr9:uid="{7CE98A05-6552-4394-B316-7E0F55E6967D}">
      <tableStyleElement type="wholeTable" dxfId="114"/>
      <tableStyleElement type="headerRow" dxfId="113"/>
      <tableStyleElement type="totalRow" dxfId="112"/>
      <tableStyleElement type="firstColumn" dxfId="111"/>
      <tableStyleElement type="lastColumn" dxfId="110"/>
    </tableStyle>
  </tableStyles>
  <colors>
    <mruColors>
      <color rgb="FF0066A9"/>
      <color rgb="FFA0BADA"/>
      <color rgb="FFAEBCC5"/>
      <color rgb="FFD1DCED"/>
      <color rgb="FFCE3B17"/>
      <color rgb="FF418321"/>
      <color rgb="FF58585A"/>
      <color rgb="FFB9C6D6"/>
      <color rgb="FF699AC9"/>
      <color rgb="FFEFC2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Nebenrechnungen!$A$10</c:f>
          <c:strCache>
            <c:ptCount val="1"/>
            <c:pt idx="0">
              <c:v>Nettojahresenergieverbrauch</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chemeClr val="tx1">
                  <a:lumMod val="65000"/>
                  <a:lumOff val="35000"/>
                </a:schemeClr>
              </a:solidFill>
              <a:latin typeface="+mj-lt"/>
              <a:ea typeface="+mn-ea"/>
              <a:cs typeface="+mn-cs"/>
            </a:defRPr>
          </a:pPr>
          <a:endParaRPr lang="de-DE"/>
        </a:p>
      </c:txPr>
    </c:title>
    <c:autoTitleDeleted val="0"/>
    <c:plotArea>
      <c:layout>
        <c:manualLayout>
          <c:layoutTarget val="inner"/>
          <c:xMode val="edge"/>
          <c:yMode val="edge"/>
          <c:x val="2.5736111111111103E-3"/>
          <c:y val="0.16291150793650794"/>
          <c:w val="0.51739166666666658"/>
          <c:h val="0.73913095238095228"/>
        </c:manualLayout>
      </c:layout>
      <c:pieChart>
        <c:varyColors val="1"/>
        <c:ser>
          <c:idx val="0"/>
          <c:order val="0"/>
          <c:tx>
            <c:strRef>
              <c:f>Verbrauch!$D$11</c:f>
              <c:strCache>
                <c:ptCount val="1"/>
                <c:pt idx="0">
                  <c:v>Nettojahresenergie-verbrauch [kWh/a]</c:v>
                </c:pt>
              </c:strCache>
            </c:strRef>
          </c:tx>
          <c:spPr>
            <a:ln w="19050">
              <a:solidFill>
                <a:schemeClr val="bg1"/>
              </a:solidFill>
            </a:ln>
          </c:spPr>
          <c:dPt>
            <c:idx val="0"/>
            <c:bubble3D val="0"/>
            <c:spPr>
              <a:solidFill>
                <a:srgbClr val="0066A9"/>
              </a:solidFill>
              <a:ln w="19050">
                <a:solidFill>
                  <a:schemeClr val="bg1"/>
                </a:solidFill>
              </a:ln>
              <a:effectLst/>
            </c:spPr>
            <c:extLst>
              <c:ext xmlns:c16="http://schemas.microsoft.com/office/drawing/2014/chart" uri="{C3380CC4-5D6E-409C-BE32-E72D297353CC}">
                <c16:uniqueId val="{00000001-CC85-4167-AF26-F23DD57009F5}"/>
              </c:ext>
            </c:extLst>
          </c:dPt>
          <c:dPt>
            <c:idx val="1"/>
            <c:bubble3D val="0"/>
            <c:spPr>
              <a:solidFill>
                <a:srgbClr val="CE3B17"/>
              </a:solidFill>
              <a:ln w="19050">
                <a:solidFill>
                  <a:schemeClr val="bg1"/>
                </a:solidFill>
              </a:ln>
              <a:effectLst/>
            </c:spPr>
            <c:extLst>
              <c:ext xmlns:c16="http://schemas.microsoft.com/office/drawing/2014/chart" uri="{C3380CC4-5D6E-409C-BE32-E72D297353CC}">
                <c16:uniqueId val="{00000003-CC85-4167-AF26-F23DD57009F5}"/>
              </c:ext>
            </c:extLst>
          </c:dPt>
          <c:dPt>
            <c:idx val="2"/>
            <c:bubble3D val="0"/>
            <c:spPr>
              <a:solidFill>
                <a:srgbClr val="FFD500"/>
              </a:solidFill>
              <a:ln w="19050">
                <a:solidFill>
                  <a:schemeClr val="bg1"/>
                </a:solidFill>
              </a:ln>
              <a:effectLst/>
            </c:spPr>
            <c:extLst>
              <c:ext xmlns:c16="http://schemas.microsoft.com/office/drawing/2014/chart" uri="{C3380CC4-5D6E-409C-BE32-E72D297353CC}">
                <c16:uniqueId val="{00000005-CC85-4167-AF26-F23DD57009F5}"/>
              </c:ext>
            </c:extLst>
          </c:dPt>
          <c:dPt>
            <c:idx val="3"/>
            <c:bubble3D val="0"/>
            <c:spPr>
              <a:solidFill>
                <a:srgbClr val="87888A"/>
              </a:solidFill>
              <a:ln w="19050">
                <a:solidFill>
                  <a:schemeClr val="bg1"/>
                </a:solidFill>
              </a:ln>
              <a:effectLst/>
            </c:spPr>
            <c:extLst>
              <c:ext xmlns:c16="http://schemas.microsoft.com/office/drawing/2014/chart" uri="{C3380CC4-5D6E-409C-BE32-E72D297353CC}">
                <c16:uniqueId val="{00000007-CC85-4167-AF26-F23DD57009F5}"/>
              </c:ext>
            </c:extLst>
          </c:dPt>
          <c:dPt>
            <c:idx val="4"/>
            <c:bubble3D val="0"/>
            <c:spPr>
              <a:solidFill>
                <a:srgbClr val="000000"/>
              </a:solidFill>
              <a:ln w="19050">
                <a:solidFill>
                  <a:schemeClr val="bg1"/>
                </a:solidFill>
              </a:ln>
              <a:effectLst/>
            </c:spPr>
            <c:extLst>
              <c:ext xmlns:c16="http://schemas.microsoft.com/office/drawing/2014/chart" uri="{C3380CC4-5D6E-409C-BE32-E72D297353CC}">
                <c16:uniqueId val="{00000009-CC85-4167-AF26-F23DD57009F5}"/>
              </c:ext>
            </c:extLst>
          </c:dPt>
          <c:dPt>
            <c:idx val="5"/>
            <c:bubble3D val="0"/>
            <c:spPr>
              <a:solidFill>
                <a:srgbClr val="418321"/>
              </a:solidFill>
              <a:ln w="19050">
                <a:solidFill>
                  <a:schemeClr val="bg1"/>
                </a:solidFill>
              </a:ln>
              <a:effectLst/>
            </c:spPr>
            <c:extLst>
              <c:ext xmlns:c16="http://schemas.microsoft.com/office/drawing/2014/chart" uri="{C3380CC4-5D6E-409C-BE32-E72D297353CC}">
                <c16:uniqueId val="{0000000B-CC85-4167-AF26-F23DD57009F5}"/>
              </c:ext>
            </c:extLst>
          </c:dPt>
          <c:dPt>
            <c:idx val="6"/>
            <c:bubble3D val="0"/>
            <c:spPr>
              <a:solidFill>
                <a:srgbClr val="B8CBE4"/>
              </a:solidFill>
              <a:ln w="19050">
                <a:solidFill>
                  <a:schemeClr val="bg1"/>
                </a:solidFill>
              </a:ln>
              <a:effectLst/>
            </c:spPr>
            <c:extLst>
              <c:ext xmlns:c16="http://schemas.microsoft.com/office/drawing/2014/chart" uri="{C3380CC4-5D6E-409C-BE32-E72D297353CC}">
                <c16:uniqueId val="{0000000D-CC85-4167-AF26-F23DD57009F5}"/>
              </c:ext>
            </c:extLst>
          </c:dPt>
          <c:dPt>
            <c:idx val="7"/>
            <c:bubble3D val="0"/>
            <c:spPr>
              <a:solidFill>
                <a:srgbClr val="699AC9"/>
              </a:solidFill>
              <a:ln w="19050">
                <a:solidFill>
                  <a:schemeClr val="bg1"/>
                </a:solidFill>
              </a:ln>
              <a:effectLst/>
            </c:spPr>
            <c:extLst>
              <c:ext xmlns:c16="http://schemas.microsoft.com/office/drawing/2014/chart" uri="{C3380CC4-5D6E-409C-BE32-E72D297353CC}">
                <c16:uniqueId val="{0000000F-CC85-4167-AF26-F23DD57009F5}"/>
              </c:ext>
            </c:extLst>
          </c:dPt>
          <c:dPt>
            <c:idx val="8"/>
            <c:bubble3D val="0"/>
            <c:spPr>
              <a:solidFill>
                <a:srgbClr val="58585A"/>
              </a:solidFill>
              <a:ln w="19050">
                <a:solidFill>
                  <a:schemeClr val="bg1"/>
                </a:solidFill>
              </a:ln>
              <a:effectLst/>
            </c:spPr>
            <c:extLst>
              <c:ext xmlns:c16="http://schemas.microsoft.com/office/drawing/2014/chart" uri="{C3380CC4-5D6E-409C-BE32-E72D297353CC}">
                <c16:uniqueId val="{00000011-CC85-4167-AF26-F23DD57009F5}"/>
              </c:ext>
            </c:extLst>
          </c:dPt>
          <c:dLbls>
            <c:delete val="1"/>
          </c:dLbls>
          <c:cat>
            <c:strRef>
              <c:f>Nebenrechnungen!$D$12:$L$12</c:f>
              <c:strCache>
                <c:ptCount val="9"/>
                <c:pt idx="0">
                  <c:v>Elektrische Energie, 64,8 %</c:v>
                </c:pt>
                <c:pt idx="1">
                  <c:v>Thermische Energie, 11,9 %</c:v>
                </c:pt>
                <c:pt idx="2">
                  <c:v>Gas, 1 %</c:v>
                </c:pt>
                <c:pt idx="3">
                  <c:v>Öl, 21,4 %</c:v>
                </c:pt>
                <c:pt idx="4">
                  <c:v>Kohle, 0 %</c:v>
                </c:pt>
                <c:pt idx="5">
                  <c:v>Biogene, 0,9 %</c:v>
                </c:pt>
                <c:pt idx="6">
                  <c:v>Sonstige Erneuerbare, 0 %</c:v>
                </c:pt>
                <c:pt idx="7">
                  <c:v>Wasserstoff, 0 %</c:v>
                </c:pt>
                <c:pt idx="8">
                  <c:v>Sonstige , 0 %</c:v>
                </c:pt>
              </c:strCache>
            </c:strRef>
          </c:cat>
          <c:val>
            <c:numRef>
              <c:f>Verbrauch!$D$12:$D$20</c:f>
              <c:numCache>
                <c:formatCode>#,##0.0;[Red]\-#,##0.0;\-</c:formatCode>
                <c:ptCount val="9"/>
                <c:pt idx="0">
                  <c:v>15096707.9</c:v>
                </c:pt>
                <c:pt idx="1">
                  <c:v>2772123.7</c:v>
                </c:pt>
                <c:pt idx="2">
                  <c:v>230235.9666666667</c:v>
                </c:pt>
                <c:pt idx="3">
                  <c:v>4984535</c:v>
                </c:pt>
                <c:pt idx="4">
                  <c:v>0</c:v>
                </c:pt>
                <c:pt idx="5">
                  <c:v>200000</c:v>
                </c:pt>
                <c:pt idx="6">
                  <c:v>0</c:v>
                </c:pt>
                <c:pt idx="7">
                  <c:v>0</c:v>
                </c:pt>
                <c:pt idx="8">
                  <c:v>0</c:v>
                </c:pt>
              </c:numCache>
            </c:numRef>
          </c:val>
          <c:extLst>
            <c:ext xmlns:c16="http://schemas.microsoft.com/office/drawing/2014/chart" uri="{C3380CC4-5D6E-409C-BE32-E72D297353CC}">
              <c16:uniqueId val="{00000012-CC85-4167-AF26-F23DD57009F5}"/>
            </c:ext>
          </c:extLst>
        </c:ser>
        <c:dLbls>
          <c:showLegendKey val="0"/>
          <c:showVal val="0"/>
          <c:showCatName val="0"/>
          <c:showSerName val="0"/>
          <c:showPercent val="1"/>
          <c:showBubbleSize val="0"/>
          <c:showLeaderLines val="1"/>
        </c:dLbls>
        <c:firstSliceAng val="0"/>
      </c:pieChart>
      <c:spPr>
        <a:noFill/>
        <a:ln>
          <a:noFill/>
        </a:ln>
        <a:effectLst/>
      </c:spPr>
    </c:plotArea>
    <c:legend>
      <c:legendPos val="r"/>
      <c:layout>
        <c:manualLayout>
          <c:xMode val="edge"/>
          <c:yMode val="edge"/>
          <c:x val="0.50462833333333335"/>
          <c:y val="0.16860555555555556"/>
          <c:w val="0.47251444444444446"/>
          <c:h val="0.76302063492063488"/>
        </c:manualLayout>
      </c:layout>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050" b="1" i="0" u="none" strike="noStrike" kern="1200" spc="0" baseline="0">
                <a:solidFill>
                  <a:schemeClr val="tx1">
                    <a:lumMod val="65000"/>
                    <a:lumOff val="35000"/>
                  </a:schemeClr>
                </a:solidFill>
                <a:latin typeface="+mn-lt"/>
                <a:ea typeface="+mn-ea"/>
                <a:cs typeface="+mn-cs"/>
              </a:defRPr>
            </a:pPr>
            <a:r>
              <a:rPr lang="en-US" sz="1050" b="1"/>
              <a:t>Verbrauchsbereiche</a:t>
            </a:r>
          </a:p>
        </c:rich>
      </c:tx>
      <c:overlay val="1"/>
      <c:spPr>
        <a:noFill/>
        <a:ln>
          <a:noFill/>
        </a:ln>
        <a:effectLst/>
      </c:spPr>
      <c:txPr>
        <a:bodyPr rot="0" spcFirstLastPara="1" vertOverflow="ellipsis" vert="horz" wrap="square" anchor="ctr" anchorCtr="1"/>
        <a:lstStyle/>
        <a:p>
          <a:pPr>
            <a:defRPr sz="1050" b="1"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manualLayout>
          <c:layoutTarget val="inner"/>
          <c:xMode val="edge"/>
          <c:yMode val="edge"/>
          <c:x val="0.1148013888888889"/>
          <c:y val="0.23826389251012497"/>
          <c:w val="0.4661558109833972"/>
          <c:h val="0.80573951434878588"/>
        </c:manualLayout>
      </c:layout>
      <c:pieChart>
        <c:varyColors val="1"/>
        <c:ser>
          <c:idx val="0"/>
          <c:order val="0"/>
          <c:tx>
            <c:v>Energieverbrauchsbereiche</c:v>
          </c:tx>
          <c:dPt>
            <c:idx val="0"/>
            <c:bubble3D val="0"/>
            <c:spPr>
              <a:solidFill>
                <a:srgbClr val="CE3B17"/>
              </a:solidFill>
              <a:ln w="19050">
                <a:solidFill>
                  <a:schemeClr val="lt1"/>
                </a:solidFill>
              </a:ln>
              <a:effectLst/>
            </c:spPr>
            <c:extLst>
              <c:ext xmlns:c16="http://schemas.microsoft.com/office/drawing/2014/chart" uri="{C3380CC4-5D6E-409C-BE32-E72D297353CC}">
                <c16:uniqueId val="{00000001-A65E-4CA5-A51D-E205EAF899A4}"/>
              </c:ext>
            </c:extLst>
          </c:dPt>
          <c:dPt>
            <c:idx val="1"/>
            <c:bubble3D val="0"/>
            <c:spPr>
              <a:solidFill>
                <a:srgbClr val="418321"/>
              </a:solidFill>
              <a:ln w="19050">
                <a:solidFill>
                  <a:schemeClr val="lt1"/>
                </a:solidFill>
              </a:ln>
              <a:effectLst/>
            </c:spPr>
            <c:extLst>
              <c:ext xmlns:c16="http://schemas.microsoft.com/office/drawing/2014/chart" uri="{C3380CC4-5D6E-409C-BE32-E72D297353CC}">
                <c16:uniqueId val="{00000003-A65E-4CA5-A51D-E205EAF899A4}"/>
              </c:ext>
            </c:extLst>
          </c:dPt>
          <c:dPt>
            <c:idx val="2"/>
            <c:bubble3D val="0"/>
            <c:spPr>
              <a:solidFill>
                <a:srgbClr val="58585A"/>
              </a:solidFill>
              <a:ln w="19050">
                <a:solidFill>
                  <a:schemeClr val="lt1"/>
                </a:solidFill>
              </a:ln>
              <a:effectLst/>
            </c:spPr>
            <c:extLst>
              <c:ext xmlns:c16="http://schemas.microsoft.com/office/drawing/2014/chart" uri="{C3380CC4-5D6E-409C-BE32-E72D297353CC}">
                <c16:uniqueId val="{00000005-A65E-4CA5-A51D-E205EAF899A4}"/>
              </c:ext>
            </c:extLst>
          </c:dPt>
          <c:cat>
            <c:strRef>
              <c:f>Nebenrechnungen!$N$10:$N$12</c:f>
              <c:strCache>
                <c:ptCount val="3"/>
                <c:pt idx="0">
                  <c:v>Gebäude
19,6 %</c:v>
                </c:pt>
                <c:pt idx="1">
                  <c:v>Prozesse
59 %</c:v>
                </c:pt>
                <c:pt idx="2">
                  <c:v>Transport
21,4 %</c:v>
                </c:pt>
              </c:strCache>
            </c:strRef>
          </c:cat>
          <c:val>
            <c:numRef>
              <c:f>Verbrauch!$B$27:$D$27</c:f>
              <c:numCache>
                <c:formatCode>#,##0.0;[Red]\-#,##0.0;\-</c:formatCode>
                <c:ptCount val="3"/>
                <c:pt idx="0">
                  <c:v>4568000</c:v>
                </c:pt>
                <c:pt idx="1">
                  <c:v>13731067.566666666</c:v>
                </c:pt>
                <c:pt idx="2">
                  <c:v>4984535</c:v>
                </c:pt>
              </c:numCache>
            </c:numRef>
          </c:val>
          <c:extLst>
            <c:ext xmlns:c16="http://schemas.microsoft.com/office/drawing/2014/chart" uri="{C3380CC4-5D6E-409C-BE32-E72D297353CC}">
              <c16:uniqueId val="{00000006-A65E-4CA5-A51D-E205EAF899A4}"/>
            </c:ext>
          </c:extLst>
        </c:ser>
        <c:dLbls>
          <c:showLegendKey val="0"/>
          <c:showVal val="0"/>
          <c:showCatName val="0"/>
          <c:showSerName val="0"/>
          <c:showPercent val="0"/>
          <c:showBubbleSize val="0"/>
          <c:showLeaderLines val="1"/>
        </c:dLbls>
        <c:firstSliceAng val="90"/>
      </c:pieChart>
      <c:spPr>
        <a:noFill/>
        <a:ln>
          <a:noFill/>
        </a:ln>
        <a:effectLst/>
      </c:spPr>
    </c:plotArea>
    <c:legend>
      <c:legendPos val="r"/>
      <c:layout>
        <c:manualLayout>
          <c:xMode val="edge"/>
          <c:yMode val="edge"/>
          <c:x val="0.64149490740740756"/>
          <c:y val="0.25409605256296608"/>
          <c:w val="0.35016296296296295"/>
          <c:h val="0.68606768524795336"/>
        </c:manualLayout>
      </c:layout>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220;_LKZPTab"/><Relationship Id="rId3" Type="http://schemas.openxmlformats.org/officeDocument/2006/relationships/image" Target="../media/image1.png"/><Relationship Id="rId7" Type="http://schemas.openxmlformats.org/officeDocument/2006/relationships/hyperlink" Target="#&#220;_LKZGTab"/><Relationship Id="rId12" Type="http://schemas.openxmlformats.org/officeDocument/2006/relationships/hyperlink" Target="#Ma&#223;nahmen!A1"/><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4.svg"/><Relationship Id="rId11" Type="http://schemas.openxmlformats.org/officeDocument/2006/relationships/image" Target="../media/image6.svg"/><Relationship Id="rId5" Type="http://schemas.openxmlformats.org/officeDocument/2006/relationships/image" Target="../media/image3.png"/><Relationship Id="rId10" Type="http://schemas.openxmlformats.org/officeDocument/2006/relationships/image" Target="../media/image5.png"/><Relationship Id="rId4" Type="http://schemas.openxmlformats.org/officeDocument/2006/relationships/image" Target="../media/image2.svg"/><Relationship Id="rId9" Type="http://schemas.openxmlformats.org/officeDocument/2006/relationships/hyperlink" Target="#&#220;_LKZTTab"/></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7.svg"/><Relationship Id="rId1" Type="http://schemas.openxmlformats.org/officeDocument/2006/relationships/image" Target="../media/image5.png"/><Relationship Id="rId6" Type="http://schemas.openxmlformats.org/officeDocument/2006/relationships/image" Target="../media/image2.svg"/><Relationship Id="rId5" Type="http://schemas.openxmlformats.org/officeDocument/2006/relationships/image" Target="../media/image1.png"/><Relationship Id="rId4" Type="http://schemas.openxmlformats.org/officeDocument/2006/relationships/image" Target="../media/image4.sv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9</xdr:row>
      <xdr:rowOff>0</xdr:rowOff>
    </xdr:from>
    <xdr:to>
      <xdr:col>3</xdr:col>
      <xdr:colOff>635775</xdr:colOff>
      <xdr:row>22</xdr:row>
      <xdr:rowOff>167325</xdr:rowOff>
    </xdr:to>
    <xdr:graphicFrame macro="">
      <xdr:nvGraphicFramePr>
        <xdr:cNvPr id="3" name="Diagramm 2" descr="Ein Kreisdiagramm zeigt die Verteilung des Nettojahresenergieverbrauchs der eingesetzten Energieträger.">
          <a:extLst>
            <a:ext uri="{FF2B5EF4-FFF2-40B4-BE49-F238E27FC236}">
              <a16:creationId xmlns:a16="http://schemas.microsoft.com/office/drawing/2014/main" id="{BF44EADD-1AC6-4B16-971E-734FE47296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3</xdr:col>
      <xdr:colOff>647701</xdr:colOff>
      <xdr:row>9</xdr:row>
      <xdr:rowOff>0</xdr:rowOff>
    </xdr:from>
    <xdr:to>
      <xdr:col>6</xdr:col>
      <xdr:colOff>809625</xdr:colOff>
      <xdr:row>16</xdr:row>
      <xdr:rowOff>171450</xdr:rowOff>
    </xdr:to>
    <xdr:graphicFrame macro="">
      <xdr:nvGraphicFramePr>
        <xdr:cNvPr id="5" name="Diagramm 4" descr="Ein Kreisdiagramm zeigt die Verteilung des Nettojahresenergieverbrauchs über die drei Energieverbrauchsbereiche Gebäude, Prozesse und Transport.">
          <a:extLst>
            <a:ext uri="{FF2B5EF4-FFF2-40B4-BE49-F238E27FC236}">
              <a16:creationId xmlns:a16="http://schemas.microsoft.com/office/drawing/2014/main" id="{1B8CCEE9-92F3-4ECB-A0F8-4F43456B84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4</xdr:col>
      <xdr:colOff>238125</xdr:colOff>
      <xdr:row>20</xdr:row>
      <xdr:rowOff>57150</xdr:rowOff>
    </xdr:from>
    <xdr:to>
      <xdr:col>4</xdr:col>
      <xdr:colOff>598125</xdr:colOff>
      <xdr:row>22</xdr:row>
      <xdr:rowOff>55200</xdr:rowOff>
    </xdr:to>
    <xdr:pic>
      <xdr:nvPicPr>
        <xdr:cNvPr id="7" name="Grafik 6">
          <a:extLst>
            <a:ext uri="{FF2B5EF4-FFF2-40B4-BE49-F238E27FC236}">
              <a16:creationId xmlns:a16="http://schemas.microsoft.com/office/drawing/2014/main" id="{5F3FCE34-F050-4795-BAB8-5B443ACCCD7D}"/>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5114925" y="3305175"/>
          <a:ext cx="360000" cy="360000"/>
        </a:xfrm>
        <a:prstGeom prst="rect">
          <a:avLst/>
        </a:prstGeom>
      </xdr:spPr>
    </xdr:pic>
    <xdr:clientData/>
  </xdr:twoCellAnchor>
  <xdr:twoCellAnchor editAs="oneCell">
    <xdr:from>
      <xdr:col>5</xdr:col>
      <xdr:colOff>247650</xdr:colOff>
      <xdr:row>20</xdr:row>
      <xdr:rowOff>57150</xdr:rowOff>
    </xdr:from>
    <xdr:to>
      <xdr:col>5</xdr:col>
      <xdr:colOff>617705</xdr:colOff>
      <xdr:row>22</xdr:row>
      <xdr:rowOff>55200</xdr:rowOff>
    </xdr:to>
    <xdr:pic>
      <xdr:nvPicPr>
        <xdr:cNvPr id="8" name="Grafik 7">
          <a:extLst>
            <a:ext uri="{FF2B5EF4-FFF2-40B4-BE49-F238E27FC236}">
              <a16:creationId xmlns:a16="http://schemas.microsoft.com/office/drawing/2014/main" id="{C4CF05F5-C85D-426B-9D5F-2B36FDF5C192}"/>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962650" y="3305175"/>
          <a:ext cx="370055" cy="360000"/>
        </a:xfrm>
        <a:prstGeom prst="rect">
          <a:avLst/>
        </a:prstGeom>
      </xdr:spPr>
    </xdr:pic>
    <xdr:clientData/>
  </xdr:twoCellAnchor>
  <xdr:twoCellAnchor editAs="oneCell">
    <xdr:from>
      <xdr:col>0</xdr:col>
      <xdr:colOff>19050</xdr:colOff>
      <xdr:row>40</xdr:row>
      <xdr:rowOff>0</xdr:rowOff>
    </xdr:from>
    <xdr:to>
      <xdr:col>0</xdr:col>
      <xdr:colOff>199050</xdr:colOff>
      <xdr:row>41</xdr:row>
      <xdr:rowOff>2200</xdr:rowOff>
    </xdr:to>
    <xdr:pic>
      <xdr:nvPicPr>
        <xdr:cNvPr id="9" name="Grafik 8">
          <a:hlinkClick xmlns:r="http://schemas.openxmlformats.org/officeDocument/2006/relationships" r:id="rId7"/>
          <a:extLst>
            <a:ext uri="{FF2B5EF4-FFF2-40B4-BE49-F238E27FC236}">
              <a16:creationId xmlns:a16="http://schemas.microsoft.com/office/drawing/2014/main" id="{265E6308-AB0A-4342-8B21-DDB8BEE5F66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9050" y="7210425"/>
          <a:ext cx="180000" cy="180000"/>
        </a:xfrm>
        <a:prstGeom prst="rect">
          <a:avLst/>
        </a:prstGeom>
      </xdr:spPr>
    </xdr:pic>
    <xdr:clientData/>
  </xdr:twoCellAnchor>
  <xdr:twoCellAnchor editAs="oneCell">
    <xdr:from>
      <xdr:col>0</xdr:col>
      <xdr:colOff>19050</xdr:colOff>
      <xdr:row>45</xdr:row>
      <xdr:rowOff>0</xdr:rowOff>
    </xdr:from>
    <xdr:to>
      <xdr:col>0</xdr:col>
      <xdr:colOff>204078</xdr:colOff>
      <xdr:row>46</xdr:row>
      <xdr:rowOff>2200</xdr:rowOff>
    </xdr:to>
    <xdr:pic>
      <xdr:nvPicPr>
        <xdr:cNvPr id="10" name="Grafik 9">
          <a:hlinkClick xmlns:r="http://schemas.openxmlformats.org/officeDocument/2006/relationships" r:id="rId8"/>
          <a:extLst>
            <a:ext uri="{FF2B5EF4-FFF2-40B4-BE49-F238E27FC236}">
              <a16:creationId xmlns:a16="http://schemas.microsoft.com/office/drawing/2014/main" id="{0D572E48-EC79-418A-BC90-5DE9EAA5A0A1}"/>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19050" y="7943850"/>
          <a:ext cx="185028" cy="180000"/>
        </a:xfrm>
        <a:prstGeom prst="rect">
          <a:avLst/>
        </a:prstGeom>
      </xdr:spPr>
    </xdr:pic>
    <xdr:clientData/>
  </xdr:twoCellAnchor>
  <xdr:oneCellAnchor>
    <xdr:from>
      <xdr:col>0</xdr:col>
      <xdr:colOff>38100</xdr:colOff>
      <xdr:row>49</xdr:row>
      <xdr:rowOff>0</xdr:rowOff>
    </xdr:from>
    <xdr:ext cx="180000" cy="180000"/>
    <xdr:pic>
      <xdr:nvPicPr>
        <xdr:cNvPr id="11" name="Grafik 10">
          <a:hlinkClick xmlns:r="http://schemas.openxmlformats.org/officeDocument/2006/relationships" r:id="rId9"/>
          <a:extLst>
            <a:ext uri="{FF2B5EF4-FFF2-40B4-BE49-F238E27FC236}">
              <a16:creationId xmlns:a16="http://schemas.microsoft.com/office/drawing/2014/main" id="{865A6CA2-E241-4E5B-930C-C117A75AB3E5}"/>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rcRect/>
        <a:stretch/>
      </xdr:blipFill>
      <xdr:spPr>
        <a:xfrm>
          <a:off x="38100" y="9048750"/>
          <a:ext cx="180000" cy="180000"/>
        </a:xfrm>
        <a:prstGeom prst="rect">
          <a:avLst/>
        </a:prstGeom>
      </xdr:spPr>
    </xdr:pic>
    <xdr:clientData/>
  </xdr:oneCellAnchor>
  <xdr:oneCellAnchor>
    <xdr:from>
      <xdr:col>6</xdr:col>
      <xdr:colOff>257175</xdr:colOff>
      <xdr:row>20</xdr:row>
      <xdr:rowOff>76200</xdr:rowOff>
    </xdr:from>
    <xdr:ext cx="360000" cy="360000"/>
    <xdr:pic>
      <xdr:nvPicPr>
        <xdr:cNvPr id="12" name="Grafik 11">
          <a:extLst>
            <a:ext uri="{FF2B5EF4-FFF2-40B4-BE49-F238E27FC236}">
              <a16:creationId xmlns:a16="http://schemas.microsoft.com/office/drawing/2014/main" id="{F5C9A368-110A-4787-BA77-E52C3B9D64BC}"/>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rcRect/>
        <a:stretch/>
      </xdr:blipFill>
      <xdr:spPr>
        <a:xfrm>
          <a:off x="6934200" y="3324225"/>
          <a:ext cx="360000" cy="360000"/>
        </a:xfrm>
        <a:prstGeom prst="rect">
          <a:avLst/>
        </a:prstGeom>
      </xdr:spPr>
    </xdr:pic>
    <xdr:clientData/>
  </xdr:oneCellAnchor>
  <xdr:oneCellAnchor>
    <xdr:from>
      <xdr:col>0</xdr:col>
      <xdr:colOff>19050</xdr:colOff>
      <xdr:row>54</xdr:row>
      <xdr:rowOff>0</xdr:rowOff>
    </xdr:from>
    <xdr:ext cx="180000" cy="180000"/>
    <xdr:pic>
      <xdr:nvPicPr>
        <xdr:cNvPr id="14" name="Grafik 13">
          <a:hlinkClick xmlns:r="http://schemas.openxmlformats.org/officeDocument/2006/relationships" r:id="rId12"/>
          <a:extLst>
            <a:ext uri="{FF2B5EF4-FFF2-40B4-BE49-F238E27FC236}">
              <a16:creationId xmlns:a16="http://schemas.microsoft.com/office/drawing/2014/main" id="{027A7A7B-365E-4366-B326-1FAB5C4C431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9050" y="7200900"/>
          <a:ext cx="180000" cy="180000"/>
        </a:xfrm>
        <a:prstGeom prst="rect">
          <a:avLst/>
        </a:prstGeom>
      </xdr:spPr>
    </xdr:pic>
    <xdr:clientData/>
  </xdr:oneCellAnchor>
  <xdr:oneCellAnchor>
    <xdr:from>
      <xdr:col>0</xdr:col>
      <xdr:colOff>19050</xdr:colOff>
      <xdr:row>58</xdr:row>
      <xdr:rowOff>0</xdr:rowOff>
    </xdr:from>
    <xdr:ext cx="185028" cy="180000"/>
    <xdr:pic>
      <xdr:nvPicPr>
        <xdr:cNvPr id="15" name="Grafik 14">
          <a:hlinkClick xmlns:r="http://schemas.openxmlformats.org/officeDocument/2006/relationships" r:id="rId12"/>
          <a:extLst>
            <a:ext uri="{FF2B5EF4-FFF2-40B4-BE49-F238E27FC236}">
              <a16:creationId xmlns:a16="http://schemas.microsoft.com/office/drawing/2014/main" id="{2CBDA454-1E15-4730-A053-B7A10B32FC15}"/>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19050" y="8115300"/>
          <a:ext cx="185028" cy="180000"/>
        </a:xfrm>
        <a:prstGeom prst="rect">
          <a:avLst/>
        </a:prstGeom>
      </xdr:spPr>
    </xdr:pic>
    <xdr:clientData/>
  </xdr:oneCellAnchor>
  <xdr:oneCellAnchor>
    <xdr:from>
      <xdr:col>0</xdr:col>
      <xdr:colOff>38100</xdr:colOff>
      <xdr:row>62</xdr:row>
      <xdr:rowOff>0</xdr:rowOff>
    </xdr:from>
    <xdr:ext cx="180000" cy="180000"/>
    <xdr:pic>
      <xdr:nvPicPr>
        <xdr:cNvPr id="16" name="Grafik 15">
          <a:hlinkClick xmlns:r="http://schemas.openxmlformats.org/officeDocument/2006/relationships" r:id="rId12"/>
          <a:extLst>
            <a:ext uri="{FF2B5EF4-FFF2-40B4-BE49-F238E27FC236}">
              <a16:creationId xmlns:a16="http://schemas.microsoft.com/office/drawing/2014/main" id="{06DB88E6-F426-4898-ACE9-DE93B05B2DA8}"/>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rcRect/>
        <a:stretch/>
      </xdr:blipFill>
      <xdr:spPr>
        <a:xfrm>
          <a:off x="38100" y="8848725"/>
          <a:ext cx="180000" cy="1800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29463</xdr:colOff>
      <xdr:row>49</xdr:row>
      <xdr:rowOff>3174</xdr:rowOff>
    </xdr:from>
    <xdr:ext cx="360000" cy="360000"/>
    <xdr:pic>
      <xdr:nvPicPr>
        <xdr:cNvPr id="7" name="Grafik 6">
          <a:extLst>
            <a:ext uri="{FF2B5EF4-FFF2-40B4-BE49-F238E27FC236}">
              <a16:creationId xmlns:a16="http://schemas.microsoft.com/office/drawing/2014/main" id="{2B5E6CC6-E338-43BD-8D18-17F059A5A2F8}"/>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rcRect/>
        <a:stretch/>
      </xdr:blipFill>
      <xdr:spPr>
        <a:xfrm>
          <a:off x="29463" y="6861174"/>
          <a:ext cx="360000" cy="360000"/>
        </a:xfrm>
        <a:prstGeom prst="rect">
          <a:avLst/>
        </a:prstGeom>
      </xdr:spPr>
    </xdr:pic>
    <xdr:clientData/>
  </xdr:oneCellAnchor>
  <xdr:twoCellAnchor editAs="oneCell">
    <xdr:from>
      <xdr:col>0</xdr:col>
      <xdr:colOff>0</xdr:colOff>
      <xdr:row>25</xdr:row>
      <xdr:rowOff>0</xdr:rowOff>
    </xdr:from>
    <xdr:to>
      <xdr:col>0</xdr:col>
      <xdr:colOff>373230</xdr:colOff>
      <xdr:row>25</xdr:row>
      <xdr:rowOff>360000</xdr:rowOff>
    </xdr:to>
    <xdr:pic>
      <xdr:nvPicPr>
        <xdr:cNvPr id="8" name="Grafik 7">
          <a:extLst>
            <a:ext uri="{FF2B5EF4-FFF2-40B4-BE49-F238E27FC236}">
              <a16:creationId xmlns:a16="http://schemas.microsoft.com/office/drawing/2014/main" id="{5587DDF9-AC1F-4CC6-B1E7-538BC874359D}"/>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3619500"/>
          <a:ext cx="370055" cy="360000"/>
        </a:xfrm>
        <a:prstGeom prst="rect">
          <a:avLst/>
        </a:prstGeom>
      </xdr:spPr>
    </xdr:pic>
    <xdr:clientData/>
  </xdr:twoCellAnchor>
  <xdr:twoCellAnchor editAs="oneCell">
    <xdr:from>
      <xdr:col>7</xdr:col>
      <xdr:colOff>819150</xdr:colOff>
      <xdr:row>25</xdr:row>
      <xdr:rowOff>0</xdr:rowOff>
    </xdr:from>
    <xdr:to>
      <xdr:col>8</xdr:col>
      <xdr:colOff>1755</xdr:colOff>
      <xdr:row>25</xdr:row>
      <xdr:rowOff>360000</xdr:rowOff>
    </xdr:to>
    <xdr:pic>
      <xdr:nvPicPr>
        <xdr:cNvPr id="9" name="Grafik 8">
          <a:extLst>
            <a:ext uri="{FF2B5EF4-FFF2-40B4-BE49-F238E27FC236}">
              <a16:creationId xmlns:a16="http://schemas.microsoft.com/office/drawing/2014/main" id="{97DF5FC5-B31A-6491-3F5D-7DB246CC9364}"/>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flipH="1">
          <a:off x="10572750" y="3762375"/>
          <a:ext cx="370055" cy="360000"/>
        </a:xfrm>
        <a:prstGeom prst="rect">
          <a:avLst/>
        </a:prstGeom>
      </xdr:spPr>
    </xdr:pic>
    <xdr:clientData/>
  </xdr:twoCellAnchor>
  <xdr:twoCellAnchor editAs="oneCell">
    <xdr:from>
      <xdr:col>0</xdr:col>
      <xdr:colOff>0</xdr:colOff>
      <xdr:row>1</xdr:row>
      <xdr:rowOff>0</xdr:rowOff>
    </xdr:from>
    <xdr:to>
      <xdr:col>0</xdr:col>
      <xdr:colOff>360000</xdr:colOff>
      <xdr:row>1</xdr:row>
      <xdr:rowOff>360000</xdr:rowOff>
    </xdr:to>
    <xdr:pic>
      <xdr:nvPicPr>
        <xdr:cNvPr id="10" name="Grafik 9">
          <a:extLst>
            <a:ext uri="{FF2B5EF4-FFF2-40B4-BE49-F238E27FC236}">
              <a16:creationId xmlns:a16="http://schemas.microsoft.com/office/drawing/2014/main" id="{36F16086-07B6-4C22-92F4-6018F7C5CC17}"/>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0" y="257175"/>
          <a:ext cx="360000" cy="360000"/>
        </a:xfrm>
        <a:prstGeom prst="rect">
          <a:avLst/>
        </a:prstGeom>
      </xdr:spPr>
    </xdr:pic>
    <xdr:clientData/>
  </xdr:twoCellAnchor>
  <xdr:twoCellAnchor editAs="oneCell">
    <xdr:from>
      <xdr:col>13</xdr:col>
      <xdr:colOff>657225</xdr:colOff>
      <xdr:row>1</xdr:row>
      <xdr:rowOff>0</xdr:rowOff>
    </xdr:from>
    <xdr:to>
      <xdr:col>13</xdr:col>
      <xdr:colOff>1020400</xdr:colOff>
      <xdr:row>1</xdr:row>
      <xdr:rowOff>360000</xdr:rowOff>
    </xdr:to>
    <xdr:pic>
      <xdr:nvPicPr>
        <xdr:cNvPr id="11" name="Grafik 10">
          <a:extLst>
            <a:ext uri="{FF2B5EF4-FFF2-40B4-BE49-F238E27FC236}">
              <a16:creationId xmlns:a16="http://schemas.microsoft.com/office/drawing/2014/main" id="{D4502813-965E-0709-1382-40B6441D81E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16840200" y="257175"/>
          <a:ext cx="360000" cy="360000"/>
        </a:xfrm>
        <a:prstGeom prst="rect">
          <a:avLst/>
        </a:prstGeom>
      </xdr:spPr>
    </xdr:pic>
    <xdr:clientData/>
  </xdr:twoCellAnchor>
  <xdr:oneCellAnchor>
    <xdr:from>
      <xdr:col>6</xdr:col>
      <xdr:colOff>800988</xdr:colOff>
      <xdr:row>49</xdr:row>
      <xdr:rowOff>3174</xdr:rowOff>
    </xdr:from>
    <xdr:ext cx="360000" cy="360000"/>
    <xdr:pic>
      <xdr:nvPicPr>
        <xdr:cNvPr id="12" name="Grafik 11">
          <a:extLst>
            <a:ext uri="{FF2B5EF4-FFF2-40B4-BE49-F238E27FC236}">
              <a16:creationId xmlns:a16="http://schemas.microsoft.com/office/drawing/2014/main" id="{B4E7B50F-40A1-03F7-6D27-AE758D0CDFA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rcRect/>
        <a:stretch/>
      </xdr:blipFill>
      <xdr:spPr>
        <a:xfrm flipH="1">
          <a:off x="8173338" y="7223124"/>
          <a:ext cx="360000" cy="360000"/>
        </a:xfrm>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F2BF1671-6EB8-4B7F-A12F-67311D8B43ED}" name="Tab_Unt" displayName="Tab_Unt" ref="A23:G35" totalsRowCount="1" dataDxfId="109">
  <autoFilter ref="A23:G34" xr:uid="{F2BF1671-6EB8-4B7F-A12F-67311D8B43ED}"/>
  <tableColumns count="7">
    <tableColumn id="1" xr3:uid="{52AC0F46-8D71-4CBA-B647-18C4B4BC125C}" name="Unternehmensbezeichnung" totalsRowLabel="Ende der Tabelle" dataDxfId="108"/>
    <tableColumn id="2" xr3:uid="{B42210AB-872A-4496-9A2A-EFD6F43A79EB}" name="Registertyp" dataDxfId="107"/>
    <tableColumn id="3" xr3:uid="{00343E83-244F-435A-A985-19CEB88B607D}" name="Register-_x000a_nummer" dataDxfId="106"/>
    <tableColumn id="4" xr3:uid="{A62D0DD9-9901-454C-AD9C-3B31E0509E5F}" name="ÖNACE-_x000a_Code" dataDxfId="105"/>
    <tableColumn id="5" xr3:uid="{4C8E3B9F-A763-41F3-B0BF-F7DA47F5DD5C}" name="Verpflichtungs-_x000a_erfüllung" dataDxfId="104"/>
    <tableColumn id="7" xr3:uid="{18DFDAC8-795F-40E6-A821-86E14254DAF3}" name="Zertifikats-, Registrier- oder Energieauditnummer" dataDxfId="103"/>
    <tableColumn id="6" xr3:uid="{69622D7E-AC5C-4386-8189-AC8DEB60D733}" name="Kommentar" dataDxfId="102"/>
  </tableColumns>
  <tableStyleInfo name="Eingabetabell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81D3FFD-D192-4990-85A7-71D89F748FA6}" name="Tab_EVpET" displayName="Tab_EVpET" ref="A11:D21" totalsRowCount="1" headerRowDxfId="101" dataDxfId="100" totalsRowDxfId="99">
  <autoFilter ref="A11:D20" xr:uid="{581D3FFD-D192-4990-85A7-71D89F748FA6}">
    <filterColumn colId="0" hiddenButton="1"/>
    <filterColumn colId="1" hiddenButton="1"/>
    <filterColumn colId="2" hiddenButton="1"/>
    <filterColumn colId="3" hiddenButton="1"/>
  </autoFilter>
  <tableColumns count="4">
    <tableColumn id="1" xr3:uid="{BD8396D4-762E-41AB-905E-E321ED1253B0}" name="Energieträger" totalsRowLabel="Ergebnis" dataDxfId="98"/>
    <tableColumn id="2" xr3:uid="{9E70CFE3-6B64-4F13-8388-7D8B8A98E2D0}" name="Bruttojahresenergie-verbrauch [kWh/a]" totalsRowFunction="sum" dataDxfId="97" totalsRowDxfId="96"/>
    <tableColumn id="3" xr3:uid="{4AD131E6-E366-4968-BF54-5ED005386A08}" name="Jahresabgabe von Energiemengen [kWh/a]" totalsRowFunction="sum" dataDxfId="95" totalsRowDxfId="94"/>
    <tableColumn id="4" xr3:uid="{B81F78C5-E0FA-4F7A-B33E-E68702B1F688}" name="Nettojahresenergie-verbrauch [kWh/a]" totalsRowFunction="sum" dataDxfId="93" totalsRowDxfId="92"/>
  </tableColumns>
  <tableStyleInfo name="Eingabetabelle" showFirstColumn="1"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93331B4A-BC93-4600-9B48-8B16EB6B213E}" name="Tab_EVpEVB" displayName="Tab_EVpEVB" ref="A26:D28" totalsRowCount="1" headerRowDxfId="91" dataDxfId="90">
  <autoFilter ref="A26:D27" xr:uid="{93331B4A-BC93-4600-9B48-8B16EB6B213E}"/>
  <tableColumns count="4">
    <tableColumn id="1" xr3:uid="{A2801E67-3ABA-4B0B-9469-C55CBE0CA7E2}" name=" " totalsRowLabel="Ergebnis" dataDxfId="89"/>
    <tableColumn id="2" xr3:uid="{4C42C6F4-F23D-498F-88D0-164AD8878EFC}" name="Gebäude" dataDxfId="88" totalsRowDxfId="87"/>
    <tableColumn id="3" xr3:uid="{CEB1A954-F1CA-49B3-AB7C-160F9F5DE6C1}" name="Prozesse" dataDxfId="86" totalsRowDxfId="85"/>
    <tableColumn id="4" xr3:uid="{EE0B0EF8-6D3B-4BB3-8618-85BD73C00814}" name="Transport" totalsRowFunction="custom" dataDxfId="84" totalsRowDxfId="83">
      <totalsRowFormula>SUM(Tab_EVpEVB[[Gebäude]:[Transport]])</totalsRowFormula>
    </tableColumn>
  </tableColumns>
  <tableStyleInfo name="Eingabetabelle" showFirstColumn="1"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C77019D-3B92-4A51-BA40-5F4FC5BC7AB0}" name="Tab_HEV" displayName="Tab_HEV" ref="A2:D32" totalsRowCount="1" headerRowDxfId="82" dataDxfId="81" totalsRowDxfId="80">
  <autoFilter ref="A2:D31" xr:uid="{FC77019D-3B92-4A51-BA40-5F4FC5BC7AB0}"/>
  <tableColumns count="4">
    <tableColumn id="1" xr3:uid="{1A9D8191-F4A0-4205-8699-C5C5AB29EA5C}" name="Bezeichnung" totalsRowLabel="Ende der Tabelle" dataDxfId="79"/>
    <tableColumn id="2" xr3:uid="{AB17B1E0-D6D7-4DD6-9FA9-37FC07197ECB}" name="Energieträger" dataDxfId="78"/>
    <tableColumn id="3" xr3:uid="{EE201F32-AEBF-4BDA-82B3-DDFC11A5016A}" name="Nutzungskategorie" dataDxfId="77"/>
    <tableColumn id="4" xr3:uid="{E07E56A3-B152-4A2D-A70E-34AA350CF52B}" name="Energiemenge_x000a_[kWh/a]" totalsRowFunction="sum" dataDxfId="76" totalsRowDxfId="0"/>
  </tableColumns>
  <tableStyleInfo name="Eingabetabell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DE6D11C7-420F-4CBA-B86C-73E7074E4540}" name="Tab_LKZGeb" displayName="Tab_LKZGeb" ref="A3:N15" totalsRowCount="1" headerRowDxfId="75" dataDxfId="74" totalsRowDxfId="73">
  <autoFilter ref="A3:N14" xr:uid="{DE6D11C7-420F-4CBA-B86C-73E7074E4540}"/>
  <tableColumns count="14">
    <tableColumn id="1" xr3:uid="{435E3610-5060-4FD8-BE1C-C266D6F30963}" name="Bezeichnung_x000a_Gebäudekennzahl" totalsRowLabel="Ende der Tabelle" dataDxfId="72"/>
    <tableColumn id="2" xr3:uid="{67CC1493-78A4-4EE1-8EDB-9C964AE22BD6}" name="Gebäudekategorie" dataDxfId="71"/>
    <tableColumn id="4" xr3:uid="{D88C3288-D5E9-487C-B45C-30D64FF892AE}" name="Nutzfläche_x000a_gesamt_x000a_[m²]" dataDxfId="70"/>
    <tableColumn id="8" xr3:uid="{230E5677-68C2-4FAC-83B4-9179120A7F9E}" name="beheizte_x000a_Nutzfläche_x000a_[m²]" dataDxfId="69"/>
    <tableColumn id="9" xr3:uid="{30B83420-103B-4EA6-835A-12DB9B15FDA9}" name="gekühlte_x000a_Nutzfläche_x000a_[m²]" dataDxfId="68"/>
    <tableColumn id="5" xr3:uid="{7A01E01C-0B67-4330-A081-47AC1934A58E}" name="Energieverbrauch_x000a_Raumwärme_x000a_[kWh/a]" dataDxfId="67" totalsRowDxfId="66"/>
    <tableColumn id="10" xr3:uid="{E9F68F8A-7F4A-4272-9D48-EDC736AB8042}" name="Energieverbrauch_x000a_Raumkühlung_x000a_[kWh/a]" dataDxfId="65" totalsRowDxfId="64"/>
    <tableColumn id="11" xr3:uid="{EDCFF2AB-5147-47EA-889D-7BE1E107031E}" name="Energieverbrauch_x000a_Residuum_x000a_[kWh/a]" dataDxfId="63" totalsRowDxfId="62"/>
    <tableColumn id="6" xr3:uid="{BF28B051-17C7-4555-BF7E-803EBECB02C3}" name="Kennzahl_x000a_Raumwärme_x000a_[kWh/m²a]" dataDxfId="61">
      <calculatedColumnFormula>IFERROR(Tab_LKZGeb[[#This Row],[Energieverbrauch
Raumwärme
'[kWh/a']]]/Tab_LKZGeb[[#This Row],[beheizte
Nutzfläche
'[m²']]],0)</calculatedColumnFormula>
    </tableColumn>
    <tableColumn id="7" xr3:uid="{3EE21C7D-5488-4AFF-909C-D5978E3E47FF}" name="Raumwärme_x000a_letzte Erhebung_x000a_[kWh/m²a]" dataDxfId="60"/>
    <tableColumn id="12" xr3:uid="{FE241694-AC07-4CA5-94C5-5E4C42626AD4}" name="Kennzahl_x000a_Raumkühlung_x000a_[kWh/m²a]" dataDxfId="59">
      <calculatedColumnFormula>IFERROR(Tab_LKZGeb[[#This Row],[Energieverbrauch
Raumkühlung
'[kWh/a']]]/Tab_LKZGeb[[#This Row],[gekühlte
Nutzfläche
'[m²']]],0)</calculatedColumnFormula>
    </tableColumn>
    <tableColumn id="13" xr3:uid="{92F39589-7D6B-49DF-A92A-7147C4991CE7}" name="Raumkühlung_x000a_letzte Erhebung_x000a_[kWh/m²a]" dataDxfId="58"/>
    <tableColumn id="14" xr3:uid="{1BEFAB36-BBA7-465D-815B-8409AEBAFBF3}" name="Kennzahl_x000a_Residuum_x000a_[kWh/m²a]" dataDxfId="57">
      <calculatedColumnFormula>IFERROR(Tab_LKZGeb[[#This Row],[Energieverbrauch
Residuum
'[kWh/a']]]/Tab_LKZGeb[[#This Row],[Nutzfläche
gesamt
'[m²']]],0)</calculatedColumnFormula>
    </tableColumn>
    <tableColumn id="15" xr3:uid="{6E51B6E9-B84B-47C6-AE34-1D62B94DC31E}" name="Residuum_x000a_letzte Erhebung_x000a_[kWh/m²]" dataDxfId="56"/>
  </tableColumns>
  <tableStyleInfo name="Eingabetabell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0868B7F-054B-4F16-8AC4-DB94D796B89A}" name="Tab_LKZPro" displayName="Tab_LKZPro" ref="A27:H39" totalsRowCount="1" headerRowDxfId="55" dataDxfId="54" totalsRowDxfId="53">
  <autoFilter ref="A27:H38" xr:uid="{E0868B7F-054B-4F16-8AC4-DB94D796B89A}"/>
  <tableColumns count="8">
    <tableColumn id="1" xr3:uid="{8A90614B-F4A0-4FF2-ABCE-069F04514C32}" name="Bezeichnung_x000a_Produktionskennzahl" totalsRowLabel="Ende der Tabelle" dataDxfId="52"/>
    <tableColumn id="2" xr3:uid="{C8D7A72A-D684-4CE5-8DFA-248527DA4128}" name="Produkt nach ÖCPA-Abteilung" dataDxfId="51"/>
    <tableColumn id="3" xr3:uid="{F59C390E-A63E-4D0B-84F1-04F8EEDA0D87}" name="Produzierte_x000a_Mengen" dataDxfId="50"/>
    <tableColumn id="4" xr3:uid="{E0E17FCC-67A3-4899-BC97-990431A14D80}" name="Einheit" dataDxfId="49"/>
    <tableColumn id="8" xr3:uid="{5C2F9FB8-B4AC-4E62-997A-DBDF431F07EB}" name="sonstige Einheit" dataDxfId="48"/>
    <tableColumn id="5" xr3:uid="{4505CCCA-B7D7-4D71-B956-BE286D47D27B}" name="Energie-_x000a_verbrauch_x000a_[kWh/a]" dataDxfId="47"/>
    <tableColumn id="6" xr3:uid="{6B780A48-D181-462C-AB7A-D33CCA6C7BE4}" name="Kennzahl_x000a_[kWh/Einheit]" dataDxfId="46">
      <calculatedColumnFormula>IFERROR(ROUND(Tab_LKZPro[[#This Row],[Energie-
verbrauch
'[kWh/a']]]/Tab_LKZPro[[#This Row],[Produzierte
Mengen]],1)&amp;" kWh/"&amp;IF(Tab_LKZPro[[#This Row],[Einheit]]=DropDown!$AA$9,Tab_LKZPro[[#This Row],[sonstige Einheit]],Tab_LKZPro[[#This Row],[Einheit]]),0)</calculatedColumnFormula>
    </tableColumn>
    <tableColumn id="7" xr3:uid="{85D1F8C4-293C-450B-A8B3-DE684A81DF4B}" name="Kennzahl letzte Erhebung" dataDxfId="45"/>
  </tableColumns>
  <tableStyleInfo name="Eingabetabell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F6EF30C4-9C1D-45BE-A107-9E37A15D8C8F}" name="Tab_LKZTra" displayName="Tab_LKZTra" ref="A51:G63" totalsRowCount="1" headerRowDxfId="44" dataDxfId="43" totalsRowDxfId="42">
  <autoFilter ref="A51:G62" xr:uid="{F6EF30C4-9C1D-45BE-A107-9E37A15D8C8F}"/>
  <tableColumns count="7">
    <tableColumn id="1" xr3:uid="{E42EFD2B-1725-4464-AB5D-D32C4AF83D1B}" name="Bezeichnung_x000a_Transportkennzahl" totalsRowLabel="Ende der Tabelle" dataDxfId="41"/>
    <tableColumn id="2" xr3:uid="{70B5A056-51DC-429E-92F9-2F72031667ED}" name="Fahrzeugklasse" dataDxfId="40"/>
    <tableColumn id="4" xr3:uid="{92CC8016-8876-4521-B313-1D69247EDA1F}" name="Anzahl _x000a_Fahrzeuge_x000a_[-]" dataDxfId="39"/>
    <tableColumn id="3" xr3:uid="{4452179A-E2D6-42C1-BD5C-E8E997C37F50}" name="Fahrleistung_x000a_insgesamt_x000a_[km/a]" dataDxfId="38"/>
    <tableColumn id="5" xr3:uid="{F11B1916-9B84-4236-930A-A8E96248EFBC}" name="Verbrauch_x000a_insgesamt_x000a_[kWh/a]" dataDxfId="37"/>
    <tableColumn id="6" xr3:uid="{A5305643-20B3-4453-8937-02D59362B12A}" name="Kennzahl_x000a_[kWh/km]" dataDxfId="36">
      <calculatedColumnFormula>IFERROR(Tab_LKZTra[[#This Row],[Verbrauch
insgesamt
'[kWh/a']]]/Tab_LKZTra[[#This Row],[Fahrleistung
insgesamt
'[km/a']]],0)</calculatedColumnFormula>
    </tableColumn>
    <tableColumn id="7" xr3:uid="{1D81BA70-3C00-430B-B169-84FA90D1D36A}" name="Kennzahl letzte Erhebung [kWh/km]" dataDxfId="35"/>
  </tableColumns>
  <tableStyleInfo name="Eingabetabell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C9907DE-A372-4EB2-804B-A22D2C98141F}" name="Tab_Abw" displayName="Tab_Abw" ref="A2:F14" totalsRowCount="1" headerRowDxfId="34" dataDxfId="33">
  <autoFilter ref="A2:F13" xr:uid="{DC9907DE-A372-4EB2-804B-A22D2C98141F}"/>
  <tableColumns count="6">
    <tableColumn id="1" xr3:uid="{137091A6-994D-4F29-9711-1083B7B8C97D}" name="Bezeichnung Abwärmequelle" totalsRowLabel="Ende der Tabelle" dataDxfId="32"/>
    <tableColumn id="2" xr3:uid="{0317C28C-8A1C-4E4B-B0E0-4A3BE9B70B1E}" name="Thermische_x000a_Leistung _x000a_[kW]" dataDxfId="31"/>
    <tableColumn id="3" xr3:uid="{B38F6709-C8A7-48EE-9560-7AC45BF12A28}" name="Jährliche_x000a_Betriebsdauer_x000a_[h/a]" dataDxfId="30"/>
    <tableColumn id="4" xr3:uid="{4BB0EFDC-17AC-467B-ADEF-A10F25F2EA68}" name="Temperaturniveau" dataDxfId="29"/>
    <tableColumn id="5" xr3:uid="{2E74C11C-2650-40C2-8AB7-8876A31BB608}" name="Nutzbare_x000a_Wärmemenge_x000a_[kWh/a]" dataDxfId="28"/>
    <tableColumn id="6" xr3:uid="{873ED91C-50B9-4B2C-BE40-0A4F57935E54}" name="Nutzungsmöglichkeit" dataDxfId="27"/>
  </tableColumns>
  <tableStyleInfo name="Eingabetabell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3456B07C-58FD-4589-AE2B-17D7779D2613}" name="Tab_MN" displayName="Tab_MN" ref="A2:I15" totalsRowCount="1" headerRowDxfId="26" dataDxfId="25">
  <autoFilter ref="A2:I14" xr:uid="{3456B07C-58FD-4589-AE2B-17D7779D2613}"/>
  <tableColumns count="9">
    <tableColumn id="1" xr3:uid="{49FC8177-9A29-4C34-891F-3E1A4AC8003A}" name="Maßnahmenbezeichnung" totalsRowLabel="Ende der Tabelle" dataDxfId="24"/>
    <tableColumn id="2" xr3:uid="{D500B7A1-EBB5-4047-853D-93F9F24EE376}" name="Umsetzungs-status" dataDxfId="23"/>
    <tableColumn id="3" xr3:uid="{ADCEB412-B142-4E88-84A9-EC0DD9415919}" name="Nutzungs-_x000a_kategorie" dataDxfId="22"/>
    <tableColumn id="5" xr3:uid="{6CD51FC9-61F9-4B5F-8E84-59793B8D2A97}" name="Haupt-_x000a_Energieträger_x000a_vorher" dataDxfId="21"/>
    <tableColumn id="6" xr3:uid="{ABF600E2-0990-401E-840D-DDCE9615EB87}" name="Haupt-_x000a_Energieträger_x000a_nachher" dataDxfId="20"/>
    <tableColumn id="4" xr3:uid="{E4EB6DCC-9168-4D73-9A72-3E3BA342A83F}" name="erreichte bzw. potenzielle_x000a_Energieeinsparung_x000a_[kWh/a]" dataDxfId="19"/>
    <tableColumn id="7" xr3:uid="{BBE19173-16E4-4E02-974C-72CB7CAA2957}" name="erreichte bzw. potenzielle_x000a_Energiekosteneinsparung_x000a_[Euro/a]" dataDxfId="18"/>
    <tableColumn id="8" xr3:uid="{41BE1A9B-C78A-47F2-A6CD-CA220C166126}" name="getätigte bzw. potenzielle_x000a_Investitionskosten_x000a_[Euro]" dataDxfId="17"/>
    <tableColumn id="9" xr3:uid="{6CAB23BB-84FA-454C-97AC-C0282E197580}" name="Dynamische_x000a_Wirtschaftlichkeits-_x000a_berechnung" dataDxfId="16"/>
  </tableColumns>
  <tableStyleInfo name="Eingabetabell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ABC76EE3-CE4F-436F-A7A1-641CCC8FFAE5}" name="Tabelle9" displayName="Tabelle9" ref="A2:D14" totalsRowCount="1" dataDxfId="15">
  <autoFilter ref="A2:D13" xr:uid="{ABC76EE3-CE4F-436F-A7A1-641CCC8FFAE5}"/>
  <tableColumns count="4">
    <tableColumn id="1" xr3:uid="{2C628579-ECC3-4265-A3DD-A6152F2C317D}" name="Vorname" totalsRowLabel="Ende der Tabelle" dataDxfId="14"/>
    <tableColumn id="2" xr3:uid="{839F1009-8C31-4E22-88E6-BC43B28BBFE1}" name="Nachname" dataDxfId="13"/>
    <tableColumn id="3" xr3:uid="{68825AD4-5885-431B-8699-4381593A4B67}" name="Unternehmensbezeichnung" dataDxfId="12"/>
    <tableColumn id="4" xr3:uid="{70BD3077-C4E9-4A47-8742-4300598657F9}" name="ID elektronische Liste" dataDxfId="11"/>
  </tableColumns>
  <tableStyleInfo name="Eingabetabell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4298F634-3C27-4C1D-9278-814D60942C3C}" name="ET_Umrechnung" displayName="ET_Umrechnung" ref="A1:C32" totalsRowShown="0" headerRowDxfId="10" dataDxfId="8" headerRowBorderDxfId="9" tableBorderDxfId="7">
  <autoFilter ref="A1:C32" xr:uid="{4298F634-3C27-4C1D-9278-814D60942C3C}">
    <filterColumn colId="0" hiddenButton="1"/>
    <filterColumn colId="1" hiddenButton="1"/>
    <filterColumn colId="2" hiddenButton="1"/>
  </autoFilter>
  <tableColumns count="3">
    <tableColumn id="2" xr3:uid="{3131627A-7CA7-40BE-A5B5-987B5DF809AF}" name="Energieträger" dataDxfId="6"/>
    <tableColumn id="5" xr3:uid="{89FABE53-99D9-4055-872E-F2DEF2AC4789}" name="Wert" dataDxfId="5"/>
    <tableColumn id="6" xr3:uid="{B0F190D0-B4B0-4ABE-9F41-9C857BFE280D}" name="Einheit" dataDxfId="4"/>
  </tableColumns>
  <tableStyleInfo name="TableStyleLight1" showFirstColumn="0" showLastColumn="0" showRowStripes="1" showColumnStripes="0"/>
</table>
</file>

<file path=xl/theme/theme1.xml><?xml version="1.0" encoding="utf-8"?>
<a:theme xmlns:a="http://schemas.openxmlformats.org/drawingml/2006/main" name="Office">
  <a:themeElements>
    <a:clrScheme name="Monitoringstelle">
      <a:dk1>
        <a:srgbClr val="000000"/>
      </a:dk1>
      <a:lt1>
        <a:sysClr val="window" lastClr="FFFFFF"/>
      </a:lt1>
      <a:dk2>
        <a:srgbClr val="44546A"/>
      </a:dk2>
      <a:lt2>
        <a:srgbClr val="AEBCC5"/>
      </a:lt2>
      <a:accent1>
        <a:srgbClr val="0066A9"/>
      </a:accent1>
      <a:accent2>
        <a:srgbClr val="CE3B17"/>
      </a:accent2>
      <a:accent3>
        <a:srgbClr val="FFD500"/>
      </a:accent3>
      <a:accent4>
        <a:srgbClr val="418321"/>
      </a:accent4>
      <a:accent5>
        <a:srgbClr val="008080"/>
      </a:accent5>
      <a:accent6>
        <a:srgbClr val="6C2383"/>
      </a:accent6>
      <a:hlink>
        <a:srgbClr val="0066A9"/>
      </a:hlink>
      <a:folHlink>
        <a:srgbClr val="6C2383"/>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2.xml"/><Relationship Id="rId1" Type="http://schemas.openxmlformats.org/officeDocument/2006/relationships/printerSettings" Target="../printerSettings/printerSettings6.bin"/><Relationship Id="rId5" Type="http://schemas.openxmlformats.org/officeDocument/2006/relationships/table" Target="../tables/table7.xml"/><Relationship Id="rId4" Type="http://schemas.openxmlformats.org/officeDocument/2006/relationships/table" Target="../tables/table6.xml"/></Relationships>
</file>

<file path=xl/worksheets/_rels/sheet7.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table" Target="../tables/table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D1183A-4CF1-4F46-9892-F90CEC9A4681}">
  <sheetPr>
    <tabColor rgb="FF0066A9"/>
    <pageSetUpPr fitToPage="1"/>
  </sheetPr>
  <dimension ref="A1:N22"/>
  <sheetViews>
    <sheetView tabSelected="1" workbookViewId="0"/>
  </sheetViews>
  <sheetFormatPr baseColWidth="10" defaultColWidth="10.625" defaultRowHeight="14.25"/>
  <cols>
    <col min="1" max="1" width="81.5" customWidth="1"/>
  </cols>
  <sheetData>
    <row r="1" spans="1:14" ht="20.25">
      <c r="A1" s="52" t="s">
        <v>589</v>
      </c>
    </row>
    <row r="2" spans="1:14" s="6" customFormat="1" ht="60">
      <c r="A2" s="97" t="s">
        <v>667</v>
      </c>
      <c r="B2" s="97"/>
      <c r="C2" s="97"/>
      <c r="D2" s="97"/>
      <c r="E2" s="97"/>
      <c r="F2" s="97"/>
      <c r="G2" s="97"/>
      <c r="H2" s="97"/>
      <c r="I2" s="97"/>
      <c r="J2" s="97"/>
      <c r="K2" s="97"/>
      <c r="L2" s="97"/>
      <c r="M2" s="97"/>
      <c r="N2" s="97"/>
    </row>
    <row r="3" spans="1:14" s="6" customFormat="1" ht="60">
      <c r="A3" s="97" t="s">
        <v>668</v>
      </c>
      <c r="B3" s="97"/>
      <c r="C3" s="97"/>
      <c r="D3" s="97"/>
      <c r="E3" s="97"/>
      <c r="F3" s="97"/>
      <c r="G3" s="97"/>
      <c r="H3" s="97"/>
      <c r="I3" s="97"/>
      <c r="J3" s="97"/>
      <c r="K3" s="97"/>
      <c r="L3" s="97"/>
      <c r="M3" s="97"/>
      <c r="N3" s="97"/>
    </row>
    <row r="4" spans="1:14" ht="15">
      <c r="A4" s="98"/>
    </row>
    <row r="5" spans="1:14" ht="25.5">
      <c r="A5" s="99" t="s">
        <v>578</v>
      </c>
    </row>
    <row r="6" spans="1:14" ht="15">
      <c r="A6" s="98"/>
      <c r="B6" s="98"/>
      <c r="C6" s="98"/>
      <c r="D6" s="98"/>
      <c r="E6" s="98"/>
      <c r="F6" s="98"/>
      <c r="G6" s="98"/>
      <c r="H6" s="98"/>
      <c r="I6" s="98"/>
      <c r="J6" s="98"/>
      <c r="K6" s="98"/>
      <c r="L6" s="98"/>
      <c r="M6" s="98"/>
      <c r="N6" s="98"/>
    </row>
    <row r="7" spans="1:14" ht="45">
      <c r="A7" s="98" t="s">
        <v>669</v>
      </c>
    </row>
    <row r="8" spans="1:14" ht="15">
      <c r="A8" s="98"/>
    </row>
    <row r="9" spans="1:14" ht="15">
      <c r="A9" s="100" t="s">
        <v>580</v>
      </c>
    </row>
    <row r="10" spans="1:14">
      <c r="A10" s="101" t="s">
        <v>581</v>
      </c>
    </row>
    <row r="11" spans="1:14">
      <c r="A11" s="102" t="s">
        <v>587</v>
      </c>
    </row>
    <row r="12" spans="1:14">
      <c r="A12" s="103" t="s">
        <v>588</v>
      </c>
    </row>
    <row r="14" spans="1:14" s="6" customFormat="1" ht="15">
      <c r="A14" s="104" t="s">
        <v>579</v>
      </c>
    </row>
    <row r="15" spans="1:14" ht="30">
      <c r="A15" s="98" t="s">
        <v>582</v>
      </c>
    </row>
    <row r="16" spans="1:14" ht="30">
      <c r="A16" s="98" t="s">
        <v>590</v>
      </c>
    </row>
    <row r="17" spans="1:1" ht="30">
      <c r="A17" s="98" t="s">
        <v>583</v>
      </c>
    </row>
    <row r="18" spans="1:1" ht="30" customHeight="1">
      <c r="A18" s="98" t="s">
        <v>591</v>
      </c>
    </row>
    <row r="19" spans="1:1" ht="15">
      <c r="A19" s="98"/>
    </row>
    <row r="20" spans="1:1" ht="15">
      <c r="A20" s="100" t="s">
        <v>584</v>
      </c>
    </row>
    <row r="21" spans="1:1" ht="30">
      <c r="A21" s="98" t="s">
        <v>592</v>
      </c>
    </row>
    <row r="22" spans="1:1" ht="15">
      <c r="A22" s="98"/>
    </row>
  </sheetData>
  <sheetProtection algorithmName="SHA-512" hashValue="QqnwYyuKjOTu5zavzylUXR3g9aL1P5labmDDgPqceHC7JdOgCCHBlEGTihN/xV2pFvBD/5yxrOgCPFIAIUDp3A==" saltValue="CdU4osxhGQO+czUvZxw9+w==" spinCount="100000" sheet="1" objects="1" scenarios="1"/>
  <printOptions horizontalCentered="1"/>
  <pageMargins left="0.39370078740157483" right="0.39370078740157483" top="0.78740157480314965" bottom="0.78740157480314965" header="0.31496062992125984" footer="0.31496062992125984"/>
  <pageSetup paperSize="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315309-A3D8-4B55-9E7B-9E97073B3A90}">
  <sheetPr>
    <tabColor rgb="FF0066A9"/>
    <pageSetUpPr fitToPage="1"/>
  </sheetPr>
  <dimension ref="A1:G72"/>
  <sheetViews>
    <sheetView zoomScaleNormal="100" workbookViewId="0">
      <pane ySplit="1" topLeftCell="A2" activePane="bottomLeft" state="frozen"/>
      <selection activeCell="C22" sqref="C22"/>
      <selection pane="bottomLeft"/>
    </sheetView>
  </sheetViews>
  <sheetFormatPr baseColWidth="10" defaultRowHeight="14.25"/>
  <cols>
    <col min="1" max="1" width="3.375" customWidth="1"/>
    <col min="2" max="2" width="29.25" customWidth="1"/>
  </cols>
  <sheetData>
    <row r="1" spans="1:7" ht="20.25">
      <c r="A1" s="5" t="s">
        <v>250</v>
      </c>
      <c r="B1" s="5"/>
      <c r="C1" s="5"/>
      <c r="D1" s="5"/>
      <c r="E1" s="5"/>
      <c r="F1" s="5"/>
      <c r="G1" s="5"/>
    </row>
    <row r="2" spans="1:7" ht="10.5" customHeight="1">
      <c r="A2" s="16"/>
      <c r="B2" s="16"/>
      <c r="C2" s="16"/>
      <c r="D2" s="16"/>
      <c r="E2" s="16"/>
      <c r="F2" s="16"/>
      <c r="G2" s="16"/>
    </row>
    <row r="3" spans="1:7" ht="48" customHeight="1">
      <c r="A3" s="109" t="s">
        <v>670</v>
      </c>
      <c r="B3" s="109"/>
      <c r="C3" s="109"/>
      <c r="D3" s="109"/>
      <c r="E3" s="109"/>
      <c r="F3" s="109"/>
      <c r="G3" s="109"/>
    </row>
    <row r="4" spans="1:7" ht="60.6" customHeight="1">
      <c r="A4" s="109" t="s">
        <v>593</v>
      </c>
      <c r="B4" s="109"/>
      <c r="C4" s="109"/>
      <c r="D4" s="109"/>
      <c r="E4" s="109"/>
      <c r="F4" s="109"/>
      <c r="G4" s="109"/>
    </row>
    <row r="5" spans="1:7" ht="10.5" customHeight="1">
      <c r="A5" s="16"/>
      <c r="B5" s="16"/>
      <c r="C5" s="16"/>
      <c r="D5" s="16"/>
      <c r="E5" s="16"/>
      <c r="F5" s="16"/>
      <c r="G5" s="16"/>
    </row>
    <row r="6" spans="1:7" ht="18">
      <c r="A6" s="9" t="s">
        <v>441</v>
      </c>
      <c r="B6" s="9"/>
      <c r="C6" s="9"/>
      <c r="D6" s="9"/>
      <c r="E6" s="9"/>
      <c r="F6" s="9"/>
      <c r="G6" s="9"/>
    </row>
    <row r="7" spans="1:7">
      <c r="A7" s="16" t="s">
        <v>494</v>
      </c>
      <c r="B7" s="16"/>
      <c r="C7" s="16"/>
      <c r="D7" s="16"/>
      <c r="E7" s="16"/>
      <c r="F7" s="16">
        <f>COUNTA(Tab_Unt[Unternehmensbezeichnung])+1</f>
        <v>4</v>
      </c>
      <c r="G7" s="16"/>
    </row>
    <row r="8" spans="1:7">
      <c r="A8" s="16"/>
      <c r="B8" s="16"/>
      <c r="C8" s="16"/>
      <c r="D8" s="16"/>
      <c r="E8" s="16"/>
      <c r="F8" s="16"/>
      <c r="G8" s="16"/>
    </row>
    <row r="9" spans="1:7" ht="18">
      <c r="A9" s="108" t="str">
        <f>"Energieverbrauch "&amp;Jahr</f>
        <v>Energieverbrauch 2022</v>
      </c>
      <c r="B9" s="108"/>
      <c r="C9" s="108"/>
      <c r="D9" s="108"/>
      <c r="E9" s="108"/>
      <c r="F9" s="108"/>
      <c r="G9" s="108"/>
    </row>
    <row r="10" spans="1:7">
      <c r="A10" s="16"/>
      <c r="B10" s="16"/>
      <c r="C10" s="16"/>
      <c r="D10" s="16"/>
      <c r="E10" s="16"/>
      <c r="F10" s="16"/>
      <c r="G10" s="16"/>
    </row>
    <row r="11" spans="1:7">
      <c r="A11" s="16"/>
      <c r="B11" s="16"/>
      <c r="C11" s="16"/>
      <c r="D11" s="16"/>
      <c r="E11" s="16"/>
      <c r="F11" s="16"/>
      <c r="G11" s="16"/>
    </row>
    <row r="12" spans="1:7">
      <c r="A12" s="16"/>
      <c r="B12" s="16"/>
      <c r="C12" s="16"/>
      <c r="D12" s="16"/>
      <c r="E12" s="16"/>
      <c r="F12" s="16"/>
      <c r="G12" s="16"/>
    </row>
    <row r="13" spans="1:7">
      <c r="A13" s="16"/>
      <c r="B13" s="16"/>
      <c r="C13" s="16"/>
      <c r="D13" s="16"/>
      <c r="E13" s="16"/>
      <c r="F13" s="16"/>
      <c r="G13" s="16"/>
    </row>
    <row r="14" spans="1:7">
      <c r="A14" s="16"/>
      <c r="B14" s="16"/>
      <c r="C14" s="16"/>
      <c r="D14" s="16"/>
      <c r="E14" s="16"/>
      <c r="F14" s="16"/>
      <c r="G14" s="16"/>
    </row>
    <row r="15" spans="1:7">
      <c r="A15" s="16"/>
      <c r="B15" s="16"/>
      <c r="C15" s="16"/>
      <c r="D15" s="16"/>
      <c r="E15" s="16"/>
      <c r="F15" s="16"/>
      <c r="G15" s="16"/>
    </row>
    <row r="16" spans="1:7">
      <c r="A16" s="16"/>
      <c r="B16" s="16"/>
      <c r="C16" s="16"/>
      <c r="D16" s="16"/>
      <c r="E16" s="16"/>
      <c r="F16" s="16"/>
      <c r="G16" s="16"/>
    </row>
    <row r="17" spans="1:7">
      <c r="A17" s="16"/>
      <c r="B17" s="16"/>
      <c r="C17" s="16"/>
      <c r="D17" s="16"/>
      <c r="E17" s="16"/>
      <c r="F17" s="16"/>
      <c r="G17" s="16"/>
    </row>
    <row r="18" spans="1:7">
      <c r="A18" s="16"/>
      <c r="B18" s="16"/>
      <c r="C18" s="16"/>
      <c r="D18" s="16"/>
      <c r="E18" s="16"/>
      <c r="F18" s="16"/>
      <c r="G18" s="16"/>
    </row>
    <row r="19" spans="1:7">
      <c r="A19" s="16"/>
      <c r="B19" s="16"/>
      <c r="C19" s="16"/>
      <c r="D19" s="16"/>
      <c r="E19" s="28" t="s">
        <v>248</v>
      </c>
      <c r="F19" s="16"/>
      <c r="G19" s="16"/>
    </row>
    <row r="20" spans="1:7">
      <c r="A20" s="16"/>
      <c r="B20" s="16"/>
      <c r="C20" s="16"/>
      <c r="D20" s="16"/>
      <c r="E20" s="17" t="str">
        <f>IF(wEVB_G,"Gebäude","")</f>
        <v>Gebäude</v>
      </c>
      <c r="F20" s="17" t="str">
        <f>IF(wEVB_P,"Prozesse","")</f>
        <v>Prozesse</v>
      </c>
      <c r="G20" s="17" t="str">
        <f>IF(wEVB_T,"Transport","")</f>
        <v>Transport</v>
      </c>
    </row>
    <row r="21" spans="1:7">
      <c r="A21" s="16"/>
      <c r="B21" s="16"/>
      <c r="C21" s="16"/>
      <c r="D21" s="16"/>
      <c r="E21" s="16"/>
      <c r="F21" s="16"/>
      <c r="G21" s="16"/>
    </row>
    <row r="22" spans="1:7">
      <c r="A22" s="16"/>
      <c r="B22" s="16"/>
      <c r="C22" s="16"/>
      <c r="D22" s="16"/>
      <c r="F22" s="16"/>
      <c r="G22" s="16"/>
    </row>
    <row r="23" spans="1:7">
      <c r="A23" s="16"/>
      <c r="B23" s="16"/>
      <c r="C23" s="16"/>
      <c r="D23" s="16"/>
      <c r="E23" s="16"/>
      <c r="F23" s="16"/>
      <c r="G23" s="16"/>
    </row>
    <row r="24" spans="1:7">
      <c r="A24" s="16"/>
      <c r="B24" s="16"/>
      <c r="C24" s="16"/>
      <c r="D24" s="16"/>
      <c r="E24" s="16"/>
      <c r="F24" s="16"/>
      <c r="G24" s="16"/>
    </row>
    <row r="25" spans="1:7" ht="18">
      <c r="A25" s="107" t="s">
        <v>434</v>
      </c>
      <c r="B25" s="107"/>
      <c r="C25" s="107"/>
      <c r="D25" s="107"/>
      <c r="E25" s="107"/>
      <c r="F25" s="107"/>
      <c r="G25" s="107"/>
    </row>
    <row r="26" spans="1:7" s="69" customFormat="1" ht="15">
      <c r="A26" s="67"/>
      <c r="B26" s="67" t="s">
        <v>429</v>
      </c>
      <c r="C26" s="67" t="s">
        <v>468</v>
      </c>
      <c r="D26" s="68" t="s">
        <v>469</v>
      </c>
      <c r="E26" s="68" t="s">
        <v>85</v>
      </c>
      <c r="F26" s="67"/>
      <c r="G26" s="67"/>
    </row>
    <row r="27" spans="1:7">
      <c r="A27" s="16">
        <v>1</v>
      </c>
      <c r="B27" s="16" t="str">
        <f>Nebenrechnungen!C43</f>
        <v>mechanische Arbeit</v>
      </c>
      <c r="C27" s="16" t="str">
        <f>Nebenrechnungen!D43</f>
        <v xml:space="preserve">Prozesse </v>
      </c>
      <c r="D27" s="29">
        <f>Nebenrechnungen!E43</f>
        <v>9585</v>
      </c>
      <c r="E27" s="29" t="str">
        <f>Nebenrechnungen!F43</f>
        <v>MWh</v>
      </c>
      <c r="F27" s="16"/>
      <c r="G27" s="16"/>
    </row>
    <row r="28" spans="1:7">
      <c r="A28" s="16">
        <v>2</v>
      </c>
      <c r="B28" s="16" t="str">
        <f>Nebenrechnungen!C44</f>
        <v>Güterverkehr</v>
      </c>
      <c r="C28" s="16" t="str">
        <f>Nebenrechnungen!D44</f>
        <v xml:space="preserve">Transport </v>
      </c>
      <c r="D28" s="29">
        <f>Nebenrechnungen!E44</f>
        <v>4281.0349999999999</v>
      </c>
      <c r="E28" s="29" t="str">
        <f>Nebenrechnungen!F44</f>
        <v>MWh</v>
      </c>
      <c r="F28" s="16"/>
      <c r="G28" s="16"/>
    </row>
    <row r="29" spans="1:7">
      <c r="A29" s="16">
        <v>3</v>
      </c>
      <c r="B29" s="16" t="str">
        <f>Nebenrechnungen!C45</f>
        <v>innerbetriebliche Transport</v>
      </c>
      <c r="C29" s="16" t="str">
        <f>Nebenrechnungen!D45</f>
        <v xml:space="preserve">Prozesse </v>
      </c>
      <c r="D29" s="29">
        <f>Nebenrechnungen!E45</f>
        <v>2516</v>
      </c>
      <c r="E29" s="29" t="str">
        <f>Nebenrechnungen!F45</f>
        <v>MWh</v>
      </c>
      <c r="F29" s="16"/>
      <c r="G29" s="16"/>
    </row>
    <row r="30" spans="1:7">
      <c r="A30" s="16">
        <v>4</v>
      </c>
      <c r="B30" s="16" t="str">
        <f>Nebenrechnungen!C46</f>
        <v>Raumwärme</v>
      </c>
      <c r="C30" s="16" t="str">
        <f>Nebenrechnungen!D46</f>
        <v xml:space="preserve">Gebäude </v>
      </c>
      <c r="D30" s="29">
        <f>Nebenrechnungen!E46</f>
        <v>2190</v>
      </c>
      <c r="E30" s="29" t="str">
        <f>Nebenrechnungen!F46</f>
        <v>MWh</v>
      </c>
      <c r="F30" s="16"/>
      <c r="G30" s="16"/>
    </row>
    <row r="31" spans="1:7">
      <c r="A31" s="16">
        <v>5</v>
      </c>
      <c r="B31" s="16" t="str">
        <f>Nebenrechnungen!C47</f>
        <v>Beleuchtung</v>
      </c>
      <c r="C31" s="16" t="str">
        <f>Nebenrechnungen!D47</f>
        <v xml:space="preserve">Gebäude </v>
      </c>
      <c r="D31" s="29">
        <f>Nebenrechnungen!E47</f>
        <v>1316.42</v>
      </c>
      <c r="E31" s="29" t="str">
        <f>Nebenrechnungen!F47</f>
        <v>MWh</v>
      </c>
      <c r="F31" s="16"/>
      <c r="G31" s="16"/>
    </row>
    <row r="32" spans="1:7">
      <c r="A32" s="63" t="str">
        <f>IF(OR(P_wEVBHEVG,P_wEVBHEVP,P_wEVBHEVT),"Hinweis: Keine Einträge für den/die wesentlichen Energieverbrauchsbereich(e) "&amp;IF(P_wEVBHEVG,"[Gebäude] ","")&amp;IF(P_wEVBHEVP,"[Prozesse] ","")&amp;IF(P_wEVBHEVT,"[Transport] ","")&amp;"vorhanden!","")</f>
        <v/>
      </c>
      <c r="B32" s="16"/>
      <c r="C32" s="16"/>
      <c r="D32" s="16"/>
      <c r="E32" s="16"/>
      <c r="F32" s="16"/>
      <c r="G32" s="16"/>
    </row>
    <row r="33" spans="1:7" ht="18">
      <c r="A33" s="108" t="s">
        <v>435</v>
      </c>
      <c r="B33" s="108"/>
      <c r="C33" s="108"/>
      <c r="D33" s="108"/>
      <c r="E33" s="108"/>
      <c r="F33" s="108"/>
      <c r="G33" s="108"/>
    </row>
    <row r="34" spans="1:7" ht="28.5">
      <c r="A34" s="17"/>
      <c r="B34" s="17" t="s">
        <v>41</v>
      </c>
      <c r="C34" s="30" t="s">
        <v>624</v>
      </c>
      <c r="D34" s="30" t="s">
        <v>625</v>
      </c>
      <c r="E34" s="30" t="s">
        <v>440</v>
      </c>
      <c r="F34" s="17"/>
      <c r="G34" s="17"/>
    </row>
    <row r="35" spans="1:7">
      <c r="A35" s="20"/>
      <c r="B35" s="20" t="str" cm="1">
        <f t="array" ref="B35:B38">DD_AbwN</f>
        <v>Kälte (unter 0°C)</v>
      </c>
      <c r="C35" s="31" cm="1">
        <f t="array" ref="C35">SUMPRODUCT(Tab_Abw[Thermische
Leistung 
'[kW']]*Tab_Abw[Jährliche
Betriebsdauer
'[h/a']]*(Tab_Abw[Temperaturniveau]=$B35))</f>
        <v>0</v>
      </c>
      <c r="D35" s="31">
        <f>SUMIFS(Tab_Abw[Nutzbare
Wärmemenge
'[kWh/a']],Tab_Abw[Temperaturniveau],$B35)</f>
        <v>0</v>
      </c>
      <c r="E35" s="21">
        <f>IFERROR(D35/C35,0)</f>
        <v>0</v>
      </c>
      <c r="F35" s="16"/>
      <c r="G35" s="16"/>
    </row>
    <row r="36" spans="1:7">
      <c r="A36" s="22"/>
      <c r="B36" s="22" t="str">
        <v>Niedertemperatur (0-50°C)</v>
      </c>
      <c r="C36" s="32" cm="1">
        <f t="array" ref="C36">SUMPRODUCT(Tab_Abw[Thermische
Leistung 
'[kW']]*Tab_Abw[Jährliche
Betriebsdauer
'[h/a']]*(Tab_Abw[Temperaturniveau]=$B36))</f>
        <v>343800</v>
      </c>
      <c r="D36" s="32">
        <f>SUMIFS(Tab_Abw[Nutzbare
Wärmemenge
'[kWh/a']],Tab_Abw[Temperaturniveau],$B36)</f>
        <v>30500</v>
      </c>
      <c r="E36" s="23">
        <f t="shared" ref="E36:E38" si="0">IFERROR(D36/C36,0)</f>
        <v>8.871436881908086E-2</v>
      </c>
      <c r="F36" s="16"/>
      <c r="G36" s="16"/>
    </row>
    <row r="37" spans="1:7">
      <c r="A37" s="24"/>
      <c r="B37" s="24" t="str">
        <v>Mitteltemperatur (51-200°C)</v>
      </c>
      <c r="C37" s="33" cm="1">
        <f t="array" ref="C37">SUMPRODUCT(Tab_Abw[Thermische
Leistung 
'[kW']]*Tab_Abw[Jährliche
Betriebsdauer
'[h/a']]*(Tab_Abw[Temperaturniveau]=$B37))</f>
        <v>40000</v>
      </c>
      <c r="D37" s="33">
        <f>SUMIFS(Tab_Abw[Nutzbare
Wärmemenge
'[kWh/a']],Tab_Abw[Temperaturniveau],$B37)</f>
        <v>25000</v>
      </c>
      <c r="E37" s="25">
        <f t="shared" si="0"/>
        <v>0.625</v>
      </c>
      <c r="F37" s="16"/>
      <c r="G37" s="16"/>
    </row>
    <row r="38" spans="1:7">
      <c r="A38" s="26"/>
      <c r="B38" s="26" t="str">
        <v>Hochtemperatur (über 200°C)</v>
      </c>
      <c r="C38" s="34" cm="1">
        <f t="array" ref="C38">SUMPRODUCT(Tab_Abw[Thermische
Leistung 
'[kW']]*Tab_Abw[Jährliche
Betriebsdauer
'[h/a']]*(Tab_Abw[Temperaturniveau]=$B38))</f>
        <v>0</v>
      </c>
      <c r="D38" s="34">
        <f>SUMIFS(Tab_Abw[Nutzbare
Wärmemenge
'[kWh/a']],Tab_Abw[Temperaturniveau],$B38)</f>
        <v>0</v>
      </c>
      <c r="E38" s="27">
        <f t="shared" si="0"/>
        <v>0</v>
      </c>
      <c r="F38" s="16"/>
      <c r="G38" s="16"/>
    </row>
    <row r="39" spans="1:7">
      <c r="A39" s="16"/>
      <c r="B39" s="16"/>
      <c r="C39" s="16"/>
      <c r="D39" s="16"/>
      <c r="E39" s="16"/>
      <c r="F39" s="16"/>
      <c r="G39" s="16"/>
    </row>
    <row r="40" spans="1:7" ht="18">
      <c r="A40" s="108" t="s">
        <v>15</v>
      </c>
      <c r="B40" s="108"/>
      <c r="C40" s="108"/>
      <c r="D40" s="108"/>
      <c r="E40" s="108"/>
      <c r="F40" s="108"/>
      <c r="G40" s="108"/>
    </row>
    <row r="41" spans="1:7" ht="15">
      <c r="A41" s="55"/>
      <c r="B41" s="60" t="s">
        <v>12</v>
      </c>
      <c r="C41" s="60"/>
      <c r="D41" s="55"/>
      <c r="E41" s="55"/>
      <c r="F41" s="16"/>
      <c r="G41" s="16"/>
    </row>
    <row r="42" spans="1:7">
      <c r="A42" s="16"/>
      <c r="B42" s="16" t="s">
        <v>659</v>
      </c>
      <c r="C42" s="16"/>
      <c r="D42" s="29">
        <f>COUNTA(Tab_LKZGeb[Gebäudekategorie])</f>
        <v>5</v>
      </c>
      <c r="E42" s="16" t="s">
        <v>466</v>
      </c>
      <c r="F42" s="16"/>
      <c r="G42" s="16"/>
    </row>
    <row r="43" spans="1:7">
      <c r="A43" s="16"/>
      <c r="B43" s="16" t="s">
        <v>660</v>
      </c>
      <c r="C43" s="16"/>
      <c r="D43" s="29">
        <f>MAX(Nebenrechnungen!$I$51:$I$62)</f>
        <v>2</v>
      </c>
      <c r="E43" s="16" t="s">
        <v>466</v>
      </c>
      <c r="F43" s="16"/>
      <c r="G43" s="16"/>
    </row>
    <row r="44" spans="1:7">
      <c r="A44" s="16"/>
      <c r="B44" s="16" t="s">
        <v>661</v>
      </c>
      <c r="C44" s="16"/>
      <c r="D44" s="61">
        <f>Nebenrechnungen!H63</f>
        <v>27.109792284866469</v>
      </c>
      <c r="E44" s="16" t="s">
        <v>467</v>
      </c>
      <c r="F44" s="16"/>
      <c r="G44" s="16"/>
    </row>
    <row r="45" spans="1:7">
      <c r="A45" s="64" t="str">
        <f>IF(AND(wEVB_G,D42=0),"Hinweis: Für den wesentlichen Energieverbrauchsbereich Gebäude wurden keine Energieleistungskennzahlen eingetragen.","")</f>
        <v/>
      </c>
      <c r="B45" s="16"/>
      <c r="C45" s="16"/>
      <c r="D45" s="61"/>
      <c r="E45" s="16"/>
      <c r="F45" s="16"/>
      <c r="G45" s="16"/>
    </row>
    <row r="46" spans="1:7" ht="15">
      <c r="A46" s="62"/>
      <c r="B46" s="62" t="s">
        <v>76</v>
      </c>
      <c r="C46" s="62"/>
      <c r="D46" s="62"/>
      <c r="E46" s="62"/>
      <c r="F46" s="16"/>
      <c r="G46" s="16"/>
    </row>
    <row r="47" spans="1:7">
      <c r="A47" s="16"/>
      <c r="B47" s="16" t="s">
        <v>659</v>
      </c>
      <c r="C47" s="16"/>
      <c r="D47" s="29">
        <f>COUNTA(Tab_LKZPro[Produkt nach ÖCPA-Abteilung])</f>
        <v>4</v>
      </c>
      <c r="E47" s="16" t="s">
        <v>466</v>
      </c>
      <c r="F47" s="16"/>
      <c r="G47" s="16"/>
    </row>
    <row r="48" spans="1:7">
      <c r="A48" s="16"/>
      <c r="B48" s="16" t="s">
        <v>662</v>
      </c>
      <c r="C48" s="16"/>
      <c r="D48" s="29">
        <f>COUNTA(_xlfn.UNIQUE(Tab_LKZPro[Produkt nach ÖCPA-Abteilung]))-IF(COUNTBLANK(Tab_LKZPro[Produkt nach ÖCPA-Abteilung])&gt;0,1)</f>
        <v>2</v>
      </c>
      <c r="E48" s="16" t="s">
        <v>466</v>
      </c>
      <c r="F48" s="16"/>
      <c r="G48" s="16"/>
    </row>
    <row r="49" spans="1:7">
      <c r="A49" s="64" t="str">
        <f>IF(AND(wEVB_P,D47=0),"Hinweis: Für den wesentlichen Energieverbrauchsbereich Produktionsprozesse wurden keine Energieleistungskennzahlen eingetragen.","")</f>
        <v/>
      </c>
      <c r="B49" s="16"/>
      <c r="C49" s="16"/>
      <c r="D49" s="16"/>
      <c r="E49" s="16"/>
      <c r="F49" s="16"/>
      <c r="G49" s="16"/>
    </row>
    <row r="50" spans="1:7" ht="15">
      <c r="A50" s="65"/>
      <c r="B50" s="65" t="s">
        <v>14</v>
      </c>
      <c r="C50" s="65"/>
      <c r="D50" s="65"/>
      <c r="E50" s="65"/>
      <c r="F50" s="16"/>
      <c r="G50" s="16"/>
    </row>
    <row r="51" spans="1:7">
      <c r="A51" s="16"/>
      <c r="B51" s="16" t="s">
        <v>659</v>
      </c>
      <c r="C51" s="16"/>
      <c r="D51" s="29">
        <f>COUNTA(Tab_LKZTra[Fahrzeugklasse])</f>
        <v>5</v>
      </c>
      <c r="E51" s="16" t="s">
        <v>466</v>
      </c>
      <c r="F51" s="16"/>
      <c r="G51" s="16"/>
    </row>
    <row r="52" spans="1:7">
      <c r="A52" s="16"/>
      <c r="B52" s="16" t="s">
        <v>663</v>
      </c>
      <c r="C52" s="16"/>
      <c r="D52" s="29">
        <f>COUNTA(_xlfn.UNIQUE(Tab_LKZTra[Fahrzeugklasse]))-IF(COUNTBLANK(Tab_LKZTra[Fahrzeugklasse])&gt;0,1)</f>
        <v>4</v>
      </c>
      <c r="E52" s="16" t="s">
        <v>466</v>
      </c>
      <c r="F52" s="16"/>
      <c r="G52" s="16"/>
    </row>
    <row r="53" spans="1:7">
      <c r="A53" s="64" t="str">
        <f>IF(AND(wEVB_T,D51=0),"Hinweis: Für den wesentlichen Energieverbrauchsbereich Transport wurden keine Energieleistungskennzahlen eingetragen.","")</f>
        <v/>
      </c>
      <c r="B53" s="16"/>
      <c r="C53" s="16"/>
      <c r="D53" s="16"/>
      <c r="E53" s="16"/>
      <c r="F53" s="16"/>
      <c r="G53" s="16"/>
    </row>
    <row r="54" spans="1:7" ht="18">
      <c r="A54" s="9" t="s">
        <v>235</v>
      </c>
      <c r="B54" s="9"/>
      <c r="C54" s="9"/>
      <c r="D54" s="9"/>
      <c r="E54" s="9"/>
      <c r="F54" s="9"/>
      <c r="G54" s="9"/>
    </row>
    <row r="55" spans="1:7" ht="15">
      <c r="A55" s="55"/>
      <c r="B55" s="60" t="s">
        <v>12</v>
      </c>
      <c r="C55" s="60"/>
      <c r="D55" s="55"/>
      <c r="E55" s="55"/>
      <c r="F55" s="16"/>
      <c r="G55" s="16"/>
    </row>
    <row r="56" spans="1:7">
      <c r="A56" s="16"/>
      <c r="B56" s="16" t="s">
        <v>664</v>
      </c>
      <c r="C56" s="29">
        <f>SUMIFS(Tab_MN[erreichte bzw. potenzielle
Energieeinsparung
'[kWh/a']],Tab_MN[Nutzungs-
kategorie],Label_G&amp;"*",Tab_MN[Umsetzungs-status],DropDown!$U$5)</f>
        <v>0</v>
      </c>
      <c r="D56" s="16" t="s">
        <v>428</v>
      </c>
      <c r="E56" s="16"/>
      <c r="F56" s="16"/>
      <c r="G56" s="16"/>
    </row>
    <row r="57" spans="1:7">
      <c r="A57" s="16"/>
      <c r="B57" s="16" t="s">
        <v>665</v>
      </c>
      <c r="C57" s="29">
        <f>SUMIFS(Tab_MN[erreichte bzw. potenzielle
Energieeinsparung
'[kWh/a']],Tab_MN[Nutzungs-
kategorie],Label_G&amp;"*",Tab_MN[Umsetzungs-status],DropDown!$U$4)</f>
        <v>75000</v>
      </c>
      <c r="D57" s="16" t="s">
        <v>428</v>
      </c>
      <c r="E57" s="16"/>
      <c r="F57" s="16"/>
      <c r="G57" s="16"/>
    </row>
    <row r="58" spans="1:7">
      <c r="A58" s="63" t="str">
        <f>IF(P_wEVBMNG,"Hinweis: Keine Einträge für den wesentlichen Energieverbrauchsbereich "&amp;Label_G&amp;" vorhanden!","")</f>
        <v/>
      </c>
      <c r="B58" s="16"/>
      <c r="C58" s="16"/>
      <c r="D58" s="16"/>
      <c r="E58" s="16"/>
      <c r="F58" s="16"/>
      <c r="G58" s="16"/>
    </row>
    <row r="59" spans="1:7" ht="15">
      <c r="A59" s="62"/>
      <c r="B59" s="62" t="s">
        <v>76</v>
      </c>
      <c r="C59" s="62"/>
      <c r="D59" s="62"/>
      <c r="E59" s="62"/>
      <c r="F59" s="16"/>
      <c r="G59" s="16"/>
    </row>
    <row r="60" spans="1:7">
      <c r="A60" s="16"/>
      <c r="B60" s="16" t="s">
        <v>664</v>
      </c>
      <c r="C60" s="29">
        <f>SUMIFS(Tab_MN[erreichte bzw. potenzielle
Energieeinsparung
'[kWh/a']],Tab_MN[Nutzungs-
kategorie],Label_P&amp;"*",Tab_MN[Umsetzungs-status],DropDown!$U$5)</f>
        <v>5000</v>
      </c>
      <c r="D60" s="16" t="s">
        <v>428</v>
      </c>
      <c r="E60" s="16"/>
      <c r="F60" s="16"/>
      <c r="G60" s="16"/>
    </row>
    <row r="61" spans="1:7">
      <c r="A61" s="16"/>
      <c r="B61" s="16" t="s">
        <v>665</v>
      </c>
      <c r="C61" s="29">
        <f>SUMIFS(Tab_MN[erreichte bzw. potenzielle
Energieeinsparung
'[kWh/a']],Tab_MN[Nutzungs-
kategorie],Label_P&amp;"*",Tab_MN[Umsetzungs-status],DropDown!$U$4)</f>
        <v>120000</v>
      </c>
      <c r="D61" s="16" t="s">
        <v>428</v>
      </c>
      <c r="E61" s="16"/>
      <c r="F61" s="16"/>
      <c r="G61" s="16"/>
    </row>
    <row r="62" spans="1:7">
      <c r="A62" s="63" t="str">
        <f>IF(P_wEVBMNP,"Hinweis: Keine Einträge für den wesentlichen Energieverbrauchsbereich "&amp;Label_P&amp;" vorhanden!","")</f>
        <v/>
      </c>
      <c r="B62" s="16"/>
      <c r="C62" s="16"/>
      <c r="D62" s="16"/>
      <c r="E62" s="16"/>
      <c r="F62" s="16"/>
      <c r="G62" s="16"/>
    </row>
    <row r="63" spans="1:7" ht="15">
      <c r="A63" s="65"/>
      <c r="B63" s="65" t="s">
        <v>14</v>
      </c>
      <c r="C63" s="65"/>
      <c r="D63" s="65"/>
      <c r="E63" s="65"/>
      <c r="F63" s="16"/>
      <c r="G63" s="16"/>
    </row>
    <row r="64" spans="1:7">
      <c r="A64" s="16"/>
      <c r="B64" s="16" t="s">
        <v>664</v>
      </c>
      <c r="C64" s="29">
        <f>SUMIFS(Tab_MN[erreichte bzw. potenzielle
Energieeinsparung
'[kWh/a']],Tab_MN[Nutzungs-
kategorie],Label_T&amp;"*",Tab_MN[Umsetzungs-status],DropDown!$U$5)</f>
        <v>0</v>
      </c>
      <c r="D64" s="16" t="s">
        <v>428</v>
      </c>
      <c r="E64" s="16"/>
      <c r="F64" s="16"/>
      <c r="G64" s="16"/>
    </row>
    <row r="65" spans="1:7">
      <c r="A65" s="16"/>
      <c r="B65" s="16" t="s">
        <v>665</v>
      </c>
      <c r="C65" s="29">
        <f>SUMIFS(Tab_MN[erreichte bzw. potenzielle
Energieeinsparung
'[kWh/a']],Tab_MN[Nutzungs-
kategorie],Label_T&amp;"*",Tab_MN[Umsetzungs-status],DropDown!$U$4)</f>
        <v>20100</v>
      </c>
      <c r="D65" s="16" t="s">
        <v>428</v>
      </c>
      <c r="E65" s="16"/>
      <c r="F65" s="16"/>
      <c r="G65" s="16"/>
    </row>
    <row r="66" spans="1:7">
      <c r="A66" s="63" t="str">
        <f>IF(P_wEVBMNT,"Hinweis: Keine Einträge für den wesentlichen Energieverbrauchsbereich "&amp;Label_T&amp;" vorhanden!","")</f>
        <v/>
      </c>
      <c r="B66" s="16"/>
      <c r="C66" s="16"/>
      <c r="D66" s="16"/>
      <c r="E66" s="16"/>
      <c r="F66" s="16"/>
      <c r="G66" s="16"/>
    </row>
    <row r="67" spans="1:7">
      <c r="A67" s="16"/>
      <c r="B67" s="16"/>
      <c r="C67" s="16"/>
      <c r="D67" s="16"/>
      <c r="E67" s="16"/>
      <c r="F67" s="16"/>
      <c r="G67" s="16"/>
    </row>
    <row r="68" spans="1:7" ht="18">
      <c r="A68" s="9" t="s">
        <v>410</v>
      </c>
      <c r="B68" s="9"/>
      <c r="C68" s="9"/>
      <c r="D68" s="9"/>
      <c r="E68" s="9"/>
      <c r="F68" s="9"/>
      <c r="G68" s="9"/>
    </row>
    <row r="69" spans="1:7">
      <c r="A69" s="16"/>
      <c r="B69" s="16" t="s">
        <v>495</v>
      </c>
      <c r="C69" s="16"/>
      <c r="D69" s="29">
        <f>COUNTA(Tabelle9[Nachname])</f>
        <v>1</v>
      </c>
      <c r="E69" s="16"/>
      <c r="F69" s="16"/>
      <c r="G69" s="16"/>
    </row>
    <row r="70" spans="1:7">
      <c r="A70" s="16"/>
      <c r="B70" s="16" t="s">
        <v>496</v>
      </c>
      <c r="C70" s="16"/>
      <c r="D70" s="29">
        <f>COUNTA(Tabelle9[ID elektronische Liste])</f>
        <v>1</v>
      </c>
      <c r="E70" s="16"/>
      <c r="F70" s="16"/>
      <c r="G70" s="16"/>
    </row>
    <row r="71" spans="1:7">
      <c r="A71" s="63" t="str">
        <f>IF(AND(COUNTIFS(Tab_Unt[Verpflichtungs-
erfüllung],DropDown!$I$4)+COUNTIFS(Tab_Unt[Verpflichtungs-
erfüllung],DropDown!$I$6)&gt;0,D70=0),"Hinweis: Keine qualifizierte Energieauditor:in angegeben, obwohl zumindest ein Energieaudit durchgeführt wurde!","")</f>
        <v/>
      </c>
      <c r="B71" s="16"/>
      <c r="C71" s="16"/>
      <c r="D71" s="16"/>
      <c r="E71" s="16"/>
      <c r="F71" s="16"/>
      <c r="G71" s="16"/>
    </row>
    <row r="72" spans="1:7">
      <c r="A72" s="16"/>
      <c r="B72" s="16"/>
      <c r="C72" s="16"/>
      <c r="D72" s="16"/>
      <c r="E72" s="16"/>
      <c r="F72" s="16"/>
      <c r="G72" s="16"/>
    </row>
  </sheetData>
  <sheetProtection algorithmName="SHA-512" hashValue="HqsQDzVCFbfAy/E36gd/soqyGL92jCBXHZRiSpi25M6jrnxevYsqKUtEnCtbM83kVlQ6ppQ2ApWjwnuG+06n+A==" saltValue="0vI3vS9iGqEoNo9HbnPSog==" spinCount="100000" sheet="1" objects="1" scenarios="1"/>
  <mergeCells count="6">
    <mergeCell ref="A25:G25"/>
    <mergeCell ref="A9:G9"/>
    <mergeCell ref="A33:G33"/>
    <mergeCell ref="A40:G40"/>
    <mergeCell ref="A3:G3"/>
    <mergeCell ref="A4:G4"/>
  </mergeCells>
  <conditionalFormatting sqref="E20:E23">
    <cfRule type="expression" dxfId="3" priority="7">
      <formula>wEVB_G</formula>
    </cfRule>
  </conditionalFormatting>
  <conditionalFormatting sqref="F20:F23">
    <cfRule type="expression" dxfId="2" priority="10">
      <formula>wEVB_P</formula>
    </cfRule>
  </conditionalFormatting>
  <conditionalFormatting sqref="G20:G23">
    <cfRule type="expression" dxfId="1" priority="9">
      <formula>wEVB_T</formula>
    </cfRule>
  </conditionalFormatting>
  <hyperlinks>
    <hyperlink ref="A25" location="Hauptverbraucher!A1" display="Hauptenergieverbraucher" xr:uid="{3285FA8E-35FE-4199-B878-3CDD9B901F2F}"/>
    <hyperlink ref="A9:G9" location="Verbrauch!A1" display="Energieverbrauch" xr:uid="{869C460A-EADB-47C7-AA82-BAE477F72E8D}"/>
    <hyperlink ref="A6:G6" location="Unternehmen!A1" display="Zum Unternehmen" xr:uid="{E8ED7EB2-7CFA-45B1-9087-9C7C01E66597}"/>
    <hyperlink ref="A33" location="Abwärme!A1" display="Abwärme" xr:uid="{C9E72273-43AF-425A-9254-80510036D868}"/>
    <hyperlink ref="A40:G40" location="Kennzahlen!A1" display="Energieleistungskennzahlen" xr:uid="{8C18B335-49A0-4795-A608-D45279C6158A}"/>
    <hyperlink ref="A54" location="Maßnahmen!A1" display="Energieeffizienzmaßnahmen" xr:uid="{8BB659E9-EA15-4DA9-B08E-E83C7A42AA8F}"/>
    <hyperlink ref="A68" location="Mitwirkende!A1" display="Mitwirkende" xr:uid="{CE6B30D8-D90B-43AE-A19D-F23131CC57CC}"/>
  </hyperlinks>
  <pageMargins left="0.39370078740157483" right="0.39370078740157483" top="0.78740157480314965" bottom="0.78740157480314965" header="0.31496062992125984" footer="0.31496062992125984"/>
  <pageSetup paperSize="9" fitToHeight="0" orientation="portrait" r:id="rId1"/>
  <rowBreaks count="1" manualBreakCount="1">
    <brk id="39"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794382-6E67-4344-84AA-42F220859457}">
  <sheetPr>
    <tabColor rgb="FFAEBCC5"/>
    <pageSetUpPr fitToPage="1"/>
  </sheetPr>
  <dimension ref="A1:G40"/>
  <sheetViews>
    <sheetView zoomScaleNormal="100" workbookViewId="0">
      <pane ySplit="1" topLeftCell="A2" activePane="bottomLeft" state="frozen"/>
      <selection activeCell="C22" sqref="C22"/>
      <selection pane="bottomLeft"/>
    </sheetView>
  </sheetViews>
  <sheetFormatPr baseColWidth="10" defaultRowHeight="14.25"/>
  <cols>
    <col min="1" max="1" width="35.875" customWidth="1"/>
    <col min="2" max="2" width="21.375" bestFit="1" customWidth="1"/>
    <col min="3" max="3" width="12.75" customWidth="1"/>
    <col min="4" max="4" width="8.625" customWidth="1"/>
    <col min="5" max="5" width="17.25" customWidth="1"/>
    <col min="6" max="6" width="23" customWidth="1"/>
    <col min="7" max="7" width="23.625" customWidth="1"/>
  </cols>
  <sheetData>
    <row r="1" spans="1:7" ht="20.25">
      <c r="A1" s="5" t="s">
        <v>598</v>
      </c>
      <c r="B1" s="5"/>
      <c r="C1" s="5"/>
      <c r="D1" s="5"/>
      <c r="E1" s="5"/>
      <c r="F1" s="5"/>
      <c r="G1" s="56" t="s">
        <v>82</v>
      </c>
    </row>
    <row r="2" spans="1:7">
      <c r="A2" s="110" t="s">
        <v>594</v>
      </c>
      <c r="B2" s="110"/>
      <c r="C2" s="110"/>
      <c r="D2" s="110"/>
      <c r="E2" s="110"/>
      <c r="F2" s="110"/>
      <c r="G2" s="110"/>
    </row>
    <row r="3" spans="1:7" ht="18">
      <c r="A3" s="9" t="s">
        <v>251</v>
      </c>
      <c r="B3" s="9"/>
      <c r="C3" s="9"/>
      <c r="D3" s="9"/>
      <c r="E3" s="9"/>
      <c r="F3" s="9"/>
      <c r="G3" s="9"/>
    </row>
    <row r="4" spans="1:7">
      <c r="A4" s="16" t="s">
        <v>43</v>
      </c>
      <c r="B4" s="114" t="s">
        <v>416</v>
      </c>
      <c r="C4" s="114"/>
      <c r="D4" s="114"/>
      <c r="E4" s="114"/>
      <c r="F4" s="114"/>
      <c r="G4" s="114"/>
    </row>
    <row r="5" spans="1:7">
      <c r="A5" s="16" t="s">
        <v>252</v>
      </c>
      <c r="B5" s="114" t="s">
        <v>413</v>
      </c>
      <c r="C5" s="114"/>
      <c r="D5" s="114"/>
      <c r="E5" s="114"/>
      <c r="F5" s="114"/>
      <c r="G5" s="114"/>
    </row>
    <row r="6" spans="1:7">
      <c r="A6" s="16" t="s">
        <v>253</v>
      </c>
      <c r="B6" s="14" t="s">
        <v>651</v>
      </c>
      <c r="C6" s="16"/>
      <c r="D6" s="16"/>
      <c r="E6" s="16"/>
      <c r="F6" s="16"/>
      <c r="G6" s="16"/>
    </row>
    <row r="7" spans="1:7">
      <c r="A7" s="16" t="s">
        <v>254</v>
      </c>
      <c r="B7" s="114" t="s">
        <v>459</v>
      </c>
      <c r="C7" s="114"/>
      <c r="D7" s="114"/>
      <c r="E7" s="114"/>
      <c r="F7" s="114"/>
      <c r="G7" s="114"/>
    </row>
    <row r="8" spans="1:7">
      <c r="A8" s="16" t="s">
        <v>418</v>
      </c>
      <c r="B8" s="16"/>
      <c r="C8" s="16"/>
      <c r="D8" s="16"/>
      <c r="E8" s="16"/>
      <c r="F8" s="16"/>
      <c r="G8" s="16"/>
    </row>
    <row r="9" spans="1:7">
      <c r="A9" s="16" t="s">
        <v>255</v>
      </c>
      <c r="B9" s="114" t="s">
        <v>417</v>
      </c>
      <c r="C9" s="114"/>
      <c r="D9" s="114"/>
      <c r="E9" s="114"/>
      <c r="F9" s="114"/>
      <c r="G9" s="114"/>
    </row>
    <row r="10" spans="1:7">
      <c r="A10" s="16" t="s">
        <v>42</v>
      </c>
      <c r="B10" s="13">
        <v>1234</v>
      </c>
      <c r="C10" s="59" t="s">
        <v>256</v>
      </c>
      <c r="D10" s="114" t="s">
        <v>425</v>
      </c>
      <c r="E10" s="114"/>
      <c r="F10" s="114"/>
      <c r="G10" s="114"/>
    </row>
    <row r="11" spans="1:7">
      <c r="A11" s="16" t="s">
        <v>419</v>
      </c>
      <c r="B11" s="16"/>
      <c r="C11" s="16"/>
      <c r="D11" s="16"/>
      <c r="E11" s="16"/>
      <c r="F11" s="16"/>
      <c r="G11" s="16"/>
    </row>
    <row r="12" spans="1:7">
      <c r="A12" s="16" t="s">
        <v>44</v>
      </c>
      <c r="B12" s="114" t="s">
        <v>421</v>
      </c>
      <c r="C12" s="114"/>
      <c r="D12" s="114"/>
      <c r="E12" s="114"/>
      <c r="F12" s="114"/>
      <c r="G12" s="114"/>
    </row>
    <row r="13" spans="1:7">
      <c r="A13" s="16" t="s">
        <v>45</v>
      </c>
      <c r="B13" s="114" t="s">
        <v>420</v>
      </c>
      <c r="C13" s="114"/>
      <c r="D13" s="114"/>
      <c r="E13" s="114"/>
      <c r="F13" s="114"/>
      <c r="G13" s="114"/>
    </row>
    <row r="14" spans="1:7">
      <c r="A14" s="16" t="s">
        <v>258</v>
      </c>
      <c r="B14" s="111" t="s">
        <v>422</v>
      </c>
      <c r="C14" s="111"/>
      <c r="D14" s="111"/>
      <c r="E14" s="111"/>
      <c r="F14" s="111"/>
      <c r="G14" s="111"/>
    </row>
    <row r="15" spans="1:7">
      <c r="A15" s="16" t="s">
        <v>257</v>
      </c>
      <c r="B15" s="112" t="s">
        <v>423</v>
      </c>
      <c r="C15" s="113"/>
      <c r="D15" s="113"/>
      <c r="E15" s="113"/>
      <c r="F15" s="113"/>
      <c r="G15" s="113"/>
    </row>
    <row r="16" spans="1:7">
      <c r="A16" s="16"/>
      <c r="B16" s="16"/>
      <c r="C16" s="16"/>
      <c r="D16" s="16"/>
      <c r="E16" s="16"/>
      <c r="F16" s="16"/>
      <c r="G16" s="16"/>
    </row>
    <row r="17" spans="1:7">
      <c r="A17" s="110" t="s">
        <v>672</v>
      </c>
      <c r="B17" s="110"/>
      <c r="C17" s="110"/>
      <c r="D17" s="110"/>
      <c r="E17" s="110"/>
      <c r="F17" s="110"/>
      <c r="G17" s="110"/>
    </row>
    <row r="18" spans="1:7">
      <c r="A18" s="110" t="s">
        <v>595</v>
      </c>
      <c r="B18" s="110"/>
      <c r="C18" s="110"/>
      <c r="D18" s="110"/>
      <c r="E18" s="110"/>
      <c r="F18" s="110"/>
      <c r="G18" s="110"/>
    </row>
    <row r="19" spans="1:7">
      <c r="A19" s="16"/>
      <c r="B19" s="16"/>
      <c r="C19" s="16"/>
      <c r="D19" s="16"/>
      <c r="E19" s="16"/>
      <c r="F19" s="16"/>
      <c r="G19" s="16"/>
    </row>
    <row r="20" spans="1:7">
      <c r="A20" s="110" t="s">
        <v>597</v>
      </c>
      <c r="B20" s="110"/>
      <c r="C20" s="110"/>
      <c r="D20" s="110"/>
      <c r="E20" s="110"/>
      <c r="F20" s="110"/>
      <c r="G20" s="110"/>
    </row>
    <row r="21" spans="1:7">
      <c r="A21" s="16"/>
      <c r="B21" s="16"/>
      <c r="C21" s="16"/>
      <c r="D21" s="16"/>
      <c r="E21" s="16"/>
      <c r="F21" s="16"/>
      <c r="G21" s="16"/>
    </row>
    <row r="22" spans="1:7" ht="18">
      <c r="A22" s="9" t="s">
        <v>259</v>
      </c>
      <c r="B22" s="9"/>
      <c r="C22" s="9"/>
      <c r="D22" s="9"/>
      <c r="E22" s="9"/>
      <c r="F22" s="9"/>
      <c r="G22" s="9"/>
    </row>
    <row r="23" spans="1:7" ht="31.5" customHeight="1">
      <c r="A23" t="s">
        <v>43</v>
      </c>
      <c r="B23" t="s">
        <v>252</v>
      </c>
      <c r="C23" s="1" t="s">
        <v>407</v>
      </c>
      <c r="D23" s="1" t="s">
        <v>408</v>
      </c>
      <c r="E23" s="1" t="s">
        <v>409</v>
      </c>
      <c r="F23" s="1" t="s">
        <v>535</v>
      </c>
      <c r="G23" t="s">
        <v>261</v>
      </c>
    </row>
    <row r="24" spans="1:7">
      <c r="A24" s="2" t="s">
        <v>412</v>
      </c>
      <c r="B24" s="2" t="s">
        <v>413</v>
      </c>
      <c r="C24" s="70" t="s">
        <v>652</v>
      </c>
      <c r="D24" s="2" t="s">
        <v>459</v>
      </c>
      <c r="E24" s="2" t="s">
        <v>47</v>
      </c>
      <c r="F24" s="2" t="s">
        <v>534</v>
      </c>
      <c r="G24" s="2"/>
    </row>
    <row r="25" spans="1:7">
      <c r="A25" s="2" t="s">
        <v>473</v>
      </c>
      <c r="B25" s="2" t="s">
        <v>413</v>
      </c>
      <c r="C25" s="70" t="s">
        <v>653</v>
      </c>
      <c r="D25" s="2" t="s">
        <v>475</v>
      </c>
      <c r="E25" s="2" t="s">
        <v>47</v>
      </c>
      <c r="F25" s="2" t="s">
        <v>533</v>
      </c>
      <c r="G25" s="2"/>
    </row>
    <row r="26" spans="1:7">
      <c r="A26" s="2" t="s">
        <v>474</v>
      </c>
      <c r="B26" s="2" t="s">
        <v>414</v>
      </c>
      <c r="C26" s="70" t="s">
        <v>654</v>
      </c>
      <c r="D26" s="2" t="s">
        <v>476</v>
      </c>
      <c r="E26" s="2" t="s">
        <v>46</v>
      </c>
      <c r="F26" s="2" t="s">
        <v>536</v>
      </c>
      <c r="G26" s="2" t="s">
        <v>477</v>
      </c>
    </row>
    <row r="27" spans="1:7">
      <c r="A27" s="2"/>
      <c r="B27" s="2"/>
      <c r="C27" s="70"/>
      <c r="D27" s="2"/>
      <c r="E27" s="2"/>
      <c r="F27" s="2"/>
      <c r="G27" s="2"/>
    </row>
    <row r="28" spans="1:7">
      <c r="A28" s="2"/>
      <c r="B28" s="2"/>
      <c r="C28" s="70"/>
      <c r="D28" s="2"/>
      <c r="E28" s="2"/>
      <c r="F28" s="2"/>
      <c r="G28" s="2"/>
    </row>
    <row r="29" spans="1:7">
      <c r="A29" s="2"/>
      <c r="B29" s="2"/>
      <c r="C29" s="70"/>
      <c r="D29" s="2"/>
      <c r="E29" s="2"/>
      <c r="F29" s="2"/>
      <c r="G29" s="2"/>
    </row>
    <row r="30" spans="1:7">
      <c r="A30" s="2"/>
      <c r="B30" s="2"/>
      <c r="C30" s="70"/>
      <c r="D30" s="2"/>
      <c r="E30" s="2"/>
      <c r="F30" s="2"/>
      <c r="G30" s="2"/>
    </row>
    <row r="31" spans="1:7">
      <c r="A31" s="2"/>
      <c r="B31" s="2"/>
      <c r="C31" s="70"/>
      <c r="D31" s="2"/>
      <c r="E31" s="2"/>
      <c r="F31" s="2"/>
      <c r="G31" s="2"/>
    </row>
    <row r="32" spans="1:7">
      <c r="A32" s="2"/>
      <c r="B32" s="2"/>
      <c r="C32" s="70"/>
      <c r="D32" s="2"/>
      <c r="E32" s="2"/>
      <c r="F32" s="2"/>
      <c r="G32" s="2"/>
    </row>
    <row r="33" spans="1:7">
      <c r="A33" s="2"/>
      <c r="B33" s="2"/>
      <c r="C33" s="70"/>
      <c r="D33" s="2"/>
      <c r="E33" s="2"/>
      <c r="F33" s="2"/>
      <c r="G33" s="2"/>
    </row>
    <row r="34" spans="1:7">
      <c r="A34" s="2"/>
      <c r="B34" s="2"/>
      <c r="C34" s="70"/>
      <c r="D34" s="2"/>
      <c r="E34" s="2"/>
      <c r="F34" s="2"/>
      <c r="G34" s="2"/>
    </row>
    <row r="35" spans="1:7">
      <c r="A35" t="s">
        <v>48</v>
      </c>
    </row>
    <row r="36" spans="1:7">
      <c r="A36" s="92" t="s">
        <v>73</v>
      </c>
      <c r="B36" s="16"/>
      <c r="C36" s="16"/>
      <c r="D36" s="16"/>
      <c r="E36" s="16"/>
      <c r="F36" s="16"/>
      <c r="G36" s="16"/>
    </row>
    <row r="37" spans="1:7">
      <c r="A37" s="16"/>
      <c r="B37" s="16"/>
      <c r="C37" s="16"/>
      <c r="D37" s="16"/>
      <c r="E37" s="16"/>
      <c r="F37" s="16"/>
      <c r="G37" s="16"/>
    </row>
    <row r="38" spans="1:7">
      <c r="A38" s="110" t="s">
        <v>672</v>
      </c>
      <c r="B38" s="110"/>
      <c r="C38" s="110"/>
      <c r="D38" s="110"/>
      <c r="E38" s="110"/>
      <c r="F38" s="110"/>
      <c r="G38" s="110"/>
    </row>
    <row r="39" spans="1:7" ht="30" customHeight="1">
      <c r="A39" s="109" t="s">
        <v>673</v>
      </c>
      <c r="B39" s="109"/>
      <c r="C39" s="109"/>
      <c r="D39" s="109"/>
      <c r="E39" s="109"/>
      <c r="F39" s="109"/>
      <c r="G39" s="109"/>
    </row>
    <row r="40" spans="1:7" ht="30.95" customHeight="1">
      <c r="A40" s="109" t="s">
        <v>596</v>
      </c>
      <c r="B40" s="109"/>
      <c r="C40" s="109"/>
      <c r="D40" s="109"/>
      <c r="E40" s="109"/>
      <c r="F40" s="109"/>
      <c r="G40" s="109"/>
    </row>
  </sheetData>
  <sheetProtection algorithmName="SHA-512" hashValue="bAv5p26ltw9bhEkKdr/tgYMS522wK+uyaQudJt3lSCc/LwJWS0dahX9a4t8CDuWaOCtBCRYU/6Q9tgDojqKbCA==" saltValue="3iLpJiOR/w0gRyQC5afGyQ==" spinCount="100000" sheet="1" objects="1" scenarios="1" formatColumns="0" insertRows="0" autoFilter="0"/>
  <mergeCells count="16">
    <mergeCell ref="A38:G38"/>
    <mergeCell ref="A39:G39"/>
    <mergeCell ref="A40:G40"/>
    <mergeCell ref="A2:G2"/>
    <mergeCell ref="A17:G17"/>
    <mergeCell ref="A18:G18"/>
    <mergeCell ref="A20:G20"/>
    <mergeCell ref="B14:G14"/>
    <mergeCell ref="B15:G15"/>
    <mergeCell ref="B7:G7"/>
    <mergeCell ref="B5:G5"/>
    <mergeCell ref="B4:G4"/>
    <mergeCell ref="D10:G10"/>
    <mergeCell ref="B9:G9"/>
    <mergeCell ref="B12:G12"/>
    <mergeCell ref="B13:G13"/>
  </mergeCells>
  <dataValidations count="6">
    <dataValidation type="list" errorStyle="warning" allowBlank="1" showErrorMessage="1" errorTitle="Drop-Down-Menü" error="Bitte wählen Sie einen Wert aus dem vorgegebenen Drop-Down-Menü aus." sqref="B24:B34 B5:G5" xr:uid="{20917FC5-AA8E-4194-97EF-32F75DC3070C}">
      <formula1>DD_RegTyp</formula1>
    </dataValidation>
    <dataValidation type="list" errorStyle="warning" allowBlank="1" showInputMessage="1" showErrorMessage="1" errorTitle="Drop-Down-Menü" error="Bitte wählen Sie einen Wert aus dem vorgegebenen Drop-Down-Menü aus." sqref="E24:E34" xr:uid="{C988134D-EEF9-42F4-887D-02A30970019A}">
      <formula1>DD_EAvsMS</formula1>
    </dataValidation>
    <dataValidation type="list" allowBlank="1" showErrorMessage="1" errorTitle="Drop-Down-Menü" error="Bitte wählen Sie einen Wert aus dem vorgegebenen Drop-Down-Menü aus." sqref="D24:D34" xr:uid="{4BE774D2-AB90-4174-A22F-50C7F5CEE5C5}">
      <formula1>DD_ÖNACE</formula1>
    </dataValidation>
    <dataValidation type="list" errorStyle="warning" allowBlank="1" showErrorMessage="1" errorTitle="Drop-Down-Menü" error="Bitte wählen Sie einen Wert aus dem vorgegebenen Drop-Down-Menü aus." sqref="B7:G7" xr:uid="{FD267C31-25A2-42E1-8CF0-06439FA5D8D5}">
      <formula1>DD_ÖNACE</formula1>
    </dataValidation>
    <dataValidation allowBlank="1" sqref="B10" xr:uid="{06ABB3E5-918C-4DB7-83AB-28AD0B877B52}"/>
    <dataValidation errorStyle="warning" allowBlank="1" errorTitle="Drop-Down-Menü" error="Bitte wählen Sie einen Wert aus dem vorgegebenen Drop-Down-Menü aus." sqref="F24:F34" xr:uid="{862C2B14-F01C-45A8-8BA8-921F41BE49A0}"/>
  </dataValidations>
  <hyperlinks>
    <hyperlink ref="G1" location="Ü_Unt" display="zurück zur Übersicht" xr:uid="{9B736867-1830-4E24-8143-82E99BB92B1E}"/>
  </hyperlinks>
  <pageMargins left="0.39370078740157483" right="0.39370078740157483" top="0.78740157480314965" bottom="0.78740157480314965" header="0.31496062992125984" footer="0.31496062992125984"/>
  <pageSetup paperSize="9" scale="61" fitToHeight="0" orientation="portrait" r:id="rId1"/>
  <headerFooter>
    <oddHeader>&amp;L&amp;9&amp;K0066A9Muster Standardisierter Kurzbericht&amp;C&amp;9&amp;K0066A9Arbeitsblatt &amp;A&amp;R&amp;9&amp;K0066A9Seite &amp;P/&amp;N</oddHeader>
    <oddFooter>&amp;C&amp;9&amp;K0066A9&amp;Z&amp;F</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47B09-B6D4-4A39-B2ED-E08695052A2C}">
  <sheetPr>
    <tabColor rgb="FFAEBCC5"/>
    <pageSetUpPr fitToPage="1"/>
  </sheetPr>
  <dimension ref="A1:H49"/>
  <sheetViews>
    <sheetView zoomScaleNormal="100" workbookViewId="0"/>
  </sheetViews>
  <sheetFormatPr baseColWidth="10" defaultRowHeight="14.25"/>
  <cols>
    <col min="1" max="1" width="34.5" customWidth="1"/>
    <col min="2" max="4" width="21.75" customWidth="1"/>
    <col min="5" max="6" width="12" customWidth="1"/>
    <col min="7" max="7" width="11" customWidth="1"/>
  </cols>
  <sheetData>
    <row r="1" spans="1:8" ht="20.25">
      <c r="A1" s="52" t="s">
        <v>599</v>
      </c>
      <c r="B1" s="52"/>
      <c r="C1" s="52"/>
      <c r="D1" s="56" t="s">
        <v>82</v>
      </c>
    </row>
    <row r="2" spans="1:8">
      <c r="A2" s="16"/>
      <c r="B2" s="16"/>
      <c r="C2" s="16"/>
      <c r="D2" s="16"/>
    </row>
    <row r="3" spans="1:8" ht="47.45" customHeight="1">
      <c r="A3" s="109" t="s">
        <v>613</v>
      </c>
      <c r="B3" s="109"/>
      <c r="C3" s="109"/>
      <c r="D3" s="109"/>
    </row>
    <row r="4" spans="1:8" ht="32.1" customHeight="1">
      <c r="A4" s="109" t="s">
        <v>674</v>
      </c>
      <c r="B4" s="109"/>
      <c r="C4" s="109"/>
      <c r="D4" s="109"/>
    </row>
    <row r="5" spans="1:8" ht="45" customHeight="1">
      <c r="A5" s="109" t="s">
        <v>666</v>
      </c>
      <c r="B5" s="109"/>
      <c r="C5" s="109"/>
      <c r="D5" s="109"/>
    </row>
    <row r="6" spans="1:8" ht="32.1" customHeight="1">
      <c r="A6" s="109" t="s">
        <v>600</v>
      </c>
      <c r="B6" s="109"/>
      <c r="C6" s="109"/>
      <c r="D6" s="109"/>
    </row>
    <row r="7" spans="1:8">
      <c r="A7" s="16"/>
      <c r="B7" s="16"/>
      <c r="C7" s="16"/>
      <c r="D7" s="16"/>
    </row>
    <row r="8" spans="1:8">
      <c r="A8" s="16" t="s">
        <v>650</v>
      </c>
      <c r="B8" s="106">
        <v>2022</v>
      </c>
      <c r="C8" s="105"/>
      <c r="D8" s="105"/>
    </row>
    <row r="9" spans="1:8">
      <c r="A9" s="16"/>
      <c r="B9" s="16"/>
      <c r="C9" s="16"/>
      <c r="D9" s="16"/>
    </row>
    <row r="10" spans="1:8" ht="18">
      <c r="A10" s="108" t="s">
        <v>1</v>
      </c>
      <c r="B10" s="108"/>
      <c r="C10" s="108"/>
      <c r="D10" s="108"/>
      <c r="G10" s="6"/>
      <c r="H10" s="6"/>
    </row>
    <row r="11" spans="1:8" ht="45">
      <c r="A11" s="53" t="s">
        <v>11</v>
      </c>
      <c r="B11" s="53" t="s">
        <v>614</v>
      </c>
      <c r="C11" s="53" t="s">
        <v>615</v>
      </c>
      <c r="D11" s="53" t="s">
        <v>616</v>
      </c>
    </row>
    <row r="12" spans="1:8">
      <c r="A12" t="s">
        <v>2</v>
      </c>
      <c r="B12" s="3">
        <v>14446707.9</v>
      </c>
      <c r="C12" s="3">
        <v>0</v>
      </c>
      <c r="D12" s="3">
        <v>15096707.9</v>
      </c>
    </row>
    <row r="13" spans="1:8">
      <c r="A13" t="s">
        <v>7</v>
      </c>
      <c r="B13" s="3">
        <v>0</v>
      </c>
      <c r="C13" s="3">
        <v>500000</v>
      </c>
      <c r="D13" s="3">
        <v>2772123.7</v>
      </c>
    </row>
    <row r="14" spans="1:8">
      <c r="A14" t="s">
        <v>8</v>
      </c>
      <c r="B14" s="3">
        <v>2302359.666666667</v>
      </c>
      <c r="C14" s="3">
        <v>0</v>
      </c>
      <c r="D14" s="3">
        <v>230235.9666666667</v>
      </c>
    </row>
    <row r="15" spans="1:8">
      <c r="A15" t="s">
        <v>10</v>
      </c>
      <c r="B15" s="3">
        <v>4984535</v>
      </c>
      <c r="C15" s="3">
        <v>0</v>
      </c>
      <c r="D15" s="3">
        <v>4984535</v>
      </c>
    </row>
    <row r="16" spans="1:8">
      <c r="A16" t="s">
        <v>3</v>
      </c>
      <c r="B16" s="3">
        <v>0</v>
      </c>
      <c r="C16" s="3">
        <v>0</v>
      </c>
      <c r="D16" s="3">
        <v>0</v>
      </c>
    </row>
    <row r="17" spans="1:4">
      <c r="A17" t="s">
        <v>9</v>
      </c>
      <c r="B17" s="3">
        <v>2000000</v>
      </c>
      <c r="C17" s="3">
        <v>0</v>
      </c>
      <c r="D17" s="3">
        <v>200000</v>
      </c>
    </row>
    <row r="18" spans="1:4">
      <c r="A18" t="s">
        <v>4</v>
      </c>
      <c r="B18" s="3">
        <v>50000</v>
      </c>
      <c r="C18" s="3">
        <v>0</v>
      </c>
      <c r="D18" s="3">
        <v>0</v>
      </c>
    </row>
    <row r="19" spans="1:4">
      <c r="A19" t="s">
        <v>5</v>
      </c>
      <c r="B19" s="3">
        <v>0</v>
      </c>
      <c r="C19" s="3">
        <v>0</v>
      </c>
      <c r="D19" s="3">
        <v>0</v>
      </c>
    </row>
    <row r="20" spans="1:4">
      <c r="A20" t="s">
        <v>6</v>
      </c>
      <c r="B20" s="3">
        <v>0</v>
      </c>
      <c r="C20" s="3">
        <v>0</v>
      </c>
      <c r="D20" s="3">
        <v>0</v>
      </c>
    </row>
    <row r="21" spans="1:4">
      <c r="A21" t="s">
        <v>72</v>
      </c>
      <c r="B21" s="4">
        <f>SUBTOTAL(109,Tab_EVpET[Bruttojahresenergie-verbrauch '[kWh/a']])</f>
        <v>23783602.566666666</v>
      </c>
      <c r="C21" s="4">
        <f>SUBTOTAL(109,Tab_EVpET[Jahresabgabe von Energiemengen '[kWh/a']])</f>
        <v>500000</v>
      </c>
      <c r="D21" s="4">
        <f>SUBTOTAL(109,Tab_EVpET[Nettojahresenergie-verbrauch '[kWh/a']])</f>
        <v>23283602.566666666</v>
      </c>
    </row>
    <row r="22" spans="1:4">
      <c r="A22" s="63" t="str">
        <f>IF(SUM(Tab_EVpET[[#Totals],[Jahresabgabe von Energiemengen '[kWh/a']]:[Nettojahresenergie-verbrauch '[kWh/a']]])&lt;&gt;Tab_EVpET[[#Totals],[Bruttojahresenergie-verbrauch '[kWh/a']]],"Hinweis: Der Summe des Bruttojahresenergieverbrauchs muss der Summe von Jahresabgabe und Nettojahresenergieverbrauch entsprechen!","")</f>
        <v/>
      </c>
      <c r="B22" s="89"/>
      <c r="C22" s="89"/>
      <c r="D22" s="89"/>
    </row>
    <row r="23" spans="1:4" ht="60.95" customHeight="1">
      <c r="A23" s="109" t="s">
        <v>602</v>
      </c>
      <c r="B23" s="109"/>
      <c r="C23" s="109"/>
      <c r="D23" s="109"/>
    </row>
    <row r="24" spans="1:4">
      <c r="A24" s="16"/>
      <c r="B24" s="16"/>
      <c r="C24" s="16"/>
      <c r="D24" s="16"/>
    </row>
    <row r="25" spans="1:4" ht="18">
      <c r="A25" s="108" t="s">
        <v>426</v>
      </c>
      <c r="B25" s="108"/>
      <c r="C25" s="108"/>
      <c r="D25" s="108"/>
    </row>
    <row r="26" spans="1:4">
      <c r="A26" t="s">
        <v>424</v>
      </c>
      <c r="B26" t="s">
        <v>12</v>
      </c>
      <c r="C26" t="s">
        <v>75</v>
      </c>
      <c r="D26" t="s">
        <v>14</v>
      </c>
    </row>
    <row r="27" spans="1:4">
      <c r="A27" s="1" t="s">
        <v>612</v>
      </c>
      <c r="B27" s="54">
        <v>4568000</v>
      </c>
      <c r="C27" s="54">
        <v>13731067.566666666</v>
      </c>
      <c r="D27" s="54">
        <v>4984535</v>
      </c>
    </row>
    <row r="28" spans="1:4">
      <c r="A28" t="s">
        <v>72</v>
      </c>
      <c r="B28" s="57"/>
      <c r="C28" s="57"/>
      <c r="D28" s="54">
        <f>SUM(Tab_EVpEVB[[Gebäude]:[Transport]])</f>
        <v>23283602.566666666</v>
      </c>
    </row>
    <row r="29" spans="1:4">
      <c r="A29" s="16"/>
      <c r="B29" s="16"/>
      <c r="C29" s="16"/>
      <c r="D29" s="16"/>
    </row>
    <row r="30" spans="1:4" ht="29.1" customHeight="1">
      <c r="A30" s="109" t="s">
        <v>601</v>
      </c>
      <c r="B30" s="109"/>
      <c r="C30" s="109"/>
      <c r="D30" s="109"/>
    </row>
    <row r="31" spans="1:4">
      <c r="A31" s="58" t="str">
        <f>IF(OR(SUM(Tab_EVpEVB[[Gebäude]:[Transport]])&lt;Tab_EVpET[[#Totals],[Nettojahresenergie-verbrauch '[kWh/a']]]*0.999,SUM(Tab_EVpEVB[[Gebäude]:[Transport]])&gt;Tab_EVpET[[#Totals],[Nettojahresenergie-verbrauch '[kWh/a']]]*1.001),"Hinweis: Der Nettojahresenergieverbrauch muss in beiden Eingabetabellen gleich sein!","")</f>
        <v/>
      </c>
      <c r="B31" s="16"/>
      <c r="C31" s="16"/>
      <c r="D31" s="16"/>
    </row>
    <row r="32" spans="1:4">
      <c r="A32" s="16"/>
      <c r="B32" s="16"/>
      <c r="C32" s="16"/>
      <c r="D32" s="16"/>
    </row>
    <row r="40" ht="15" customHeight="1"/>
    <row r="49" ht="15" customHeight="1"/>
  </sheetData>
  <sheetProtection algorithmName="SHA-512" hashValue="oQ75VDNPkWcS9v5sF0xeGAJit19TgLmYDOhw47UdNwHwfnJBRosu2emVjYBRgjKryBnDSQbegia/K/w/E/pg+A==" saltValue="mP0SQwxnSAUQO8ozkbcIeA==" spinCount="100000" sheet="1" objects="1" scenarios="1"/>
  <mergeCells count="8">
    <mergeCell ref="A30:D30"/>
    <mergeCell ref="A10:D10"/>
    <mergeCell ref="A25:D25"/>
    <mergeCell ref="A3:D3"/>
    <mergeCell ref="A4:D4"/>
    <mergeCell ref="A5:D5"/>
    <mergeCell ref="A6:D6"/>
    <mergeCell ref="A23:D23"/>
  </mergeCells>
  <dataValidations count="2">
    <dataValidation type="decimal" operator="greaterThanOrEqual" allowBlank="1" showErrorMessage="1" errorTitle="Numerische Eingabe" error="Bitte geben Sie eine Zahl ein. Werte dürfen nicht negativ sein." sqref="B27:D27 B12:D20" xr:uid="{FE18C9CD-5E3A-4A45-A1FE-B6BF64954231}">
      <formula1>0</formula1>
    </dataValidation>
    <dataValidation type="whole" allowBlank="1" showErrorMessage="1" errorTitle="Jahreszahl" error="Bitte geben Sie eine vierstellige Jahreszahl ein. {2020-2050}" sqref="B8" xr:uid="{11DD72B4-B842-45EC-B3ED-9C1E0EE6C03F}">
      <formula1>2020</formula1>
      <formula2>2050</formula2>
    </dataValidation>
  </dataValidations>
  <hyperlinks>
    <hyperlink ref="D1" location="Ü_EV" display="zurück zur Übersicht" xr:uid="{0320F973-F013-49F5-A1CD-1B137B9C88DA}"/>
  </hyperlinks>
  <printOptions horizontalCentered="1"/>
  <pageMargins left="0.39370078740157483" right="0.39370078740157483" top="0.78740157480314965" bottom="0.78740157480314965" header="0.31496062992125984" footer="0.31496062992125984"/>
  <pageSetup paperSize="9" scale="88" fitToHeight="0" orientation="portrait" r:id="rId1"/>
  <headerFooter>
    <oddHeader>&amp;LStandardisierter Kurzbericht&amp;CArbeitsblatt &amp;A&amp;RSeite &amp;P/&amp;N</oddHeader>
    <oddFooter>&amp;C&amp;Z&amp;F</oddFooter>
  </headerFooter>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4D6F00-D6B6-4DD3-80E6-B404E4FB426D}">
  <sheetPr>
    <tabColor rgb="FFAEBCC5"/>
    <pageSetUpPr fitToPage="1"/>
  </sheetPr>
  <dimension ref="A1:D40"/>
  <sheetViews>
    <sheetView zoomScaleNormal="100" workbookViewId="0">
      <pane ySplit="1" topLeftCell="A2" activePane="bottomLeft" state="frozen"/>
      <selection activeCell="C22" sqref="C22"/>
      <selection pane="bottomLeft"/>
    </sheetView>
  </sheetViews>
  <sheetFormatPr baseColWidth="10" defaultRowHeight="14.25"/>
  <cols>
    <col min="1" max="1" width="37" customWidth="1"/>
    <col min="2" max="2" width="18" customWidth="1"/>
    <col min="3" max="3" width="37.75" customWidth="1"/>
    <col min="4" max="4" width="13.75" customWidth="1"/>
  </cols>
  <sheetData>
    <row r="1" spans="1:4" ht="20.25">
      <c r="A1" s="52" t="s">
        <v>605</v>
      </c>
      <c r="B1" s="52"/>
      <c r="C1" s="52"/>
      <c r="D1" s="56" t="s">
        <v>82</v>
      </c>
    </row>
    <row r="2" spans="1:4" ht="28.5">
      <c r="A2" t="s">
        <v>79</v>
      </c>
      <c r="B2" t="s">
        <v>11</v>
      </c>
      <c r="C2" t="s">
        <v>13</v>
      </c>
      <c r="D2" s="1" t="s">
        <v>617</v>
      </c>
    </row>
    <row r="3" spans="1:4">
      <c r="A3" s="2" t="s">
        <v>515</v>
      </c>
      <c r="B3" s="2" t="s">
        <v>9</v>
      </c>
      <c r="C3" s="2" t="s">
        <v>57</v>
      </c>
      <c r="D3" s="3">
        <v>200000</v>
      </c>
    </row>
    <row r="4" spans="1:4">
      <c r="A4" s="2" t="s">
        <v>514</v>
      </c>
      <c r="B4" s="2" t="s">
        <v>8</v>
      </c>
      <c r="C4" s="2" t="s">
        <v>57</v>
      </c>
      <c r="D4" s="3">
        <v>202235.9666666667</v>
      </c>
    </row>
    <row r="5" spans="1:4">
      <c r="A5" s="2" t="s">
        <v>519</v>
      </c>
      <c r="B5" s="2" t="s">
        <v>8</v>
      </c>
      <c r="C5" s="2" t="s">
        <v>56</v>
      </c>
      <c r="D5" s="3">
        <v>28000</v>
      </c>
    </row>
    <row r="6" spans="1:4" ht="18.75" customHeight="1">
      <c r="A6" s="2" t="s">
        <v>512</v>
      </c>
      <c r="B6" s="2" t="s">
        <v>7</v>
      </c>
      <c r="C6" s="2" t="s">
        <v>49</v>
      </c>
      <c r="D6" s="3">
        <v>2190000</v>
      </c>
    </row>
    <row r="7" spans="1:4">
      <c r="A7" s="2" t="s">
        <v>513</v>
      </c>
      <c r="B7" s="2" t="s">
        <v>7</v>
      </c>
      <c r="C7" s="2" t="s">
        <v>74</v>
      </c>
      <c r="D7" s="3">
        <v>20500</v>
      </c>
    </row>
    <row r="8" spans="1:4">
      <c r="A8" s="2" t="s">
        <v>518</v>
      </c>
      <c r="B8" s="2" t="s">
        <v>2</v>
      </c>
      <c r="C8" s="2" t="s">
        <v>51</v>
      </c>
      <c r="D8" s="3">
        <v>470000</v>
      </c>
    </row>
    <row r="9" spans="1:4">
      <c r="A9" s="2" t="s">
        <v>478</v>
      </c>
      <c r="B9" s="2" t="s">
        <v>2</v>
      </c>
      <c r="C9" s="2" t="s">
        <v>51</v>
      </c>
      <c r="D9" s="3">
        <v>50000</v>
      </c>
    </row>
    <row r="10" spans="1:4">
      <c r="A10" s="2" t="s">
        <v>498</v>
      </c>
      <c r="B10" s="2" t="s">
        <v>2</v>
      </c>
      <c r="C10" s="2" t="s">
        <v>52</v>
      </c>
      <c r="D10" s="3">
        <v>126420</v>
      </c>
    </row>
    <row r="11" spans="1:4">
      <c r="A11" s="2" t="s">
        <v>500</v>
      </c>
      <c r="B11" s="2" t="s">
        <v>2</v>
      </c>
      <c r="C11" s="2" t="s">
        <v>52</v>
      </c>
      <c r="D11" s="3">
        <v>990000</v>
      </c>
    </row>
    <row r="12" spans="1:4">
      <c r="A12" s="2" t="s">
        <v>499</v>
      </c>
      <c r="B12" s="2" t="s">
        <v>2</v>
      </c>
      <c r="C12" s="2" t="s">
        <v>52</v>
      </c>
      <c r="D12" s="3">
        <v>200000</v>
      </c>
    </row>
    <row r="13" spans="1:4">
      <c r="A13" s="2" t="s">
        <v>78</v>
      </c>
      <c r="B13" s="2" t="s">
        <v>2</v>
      </c>
      <c r="C13" s="2" t="s">
        <v>54</v>
      </c>
      <c r="D13" s="3">
        <v>150000</v>
      </c>
    </row>
    <row r="14" spans="1:4">
      <c r="A14" s="2" t="s">
        <v>453</v>
      </c>
      <c r="B14" s="2" t="s">
        <v>2</v>
      </c>
      <c r="C14" s="2" t="s">
        <v>56</v>
      </c>
      <c r="D14" s="3">
        <v>343080</v>
      </c>
    </row>
    <row r="15" spans="1:4">
      <c r="A15" s="2" t="s">
        <v>504</v>
      </c>
      <c r="B15" s="2" t="s">
        <v>7</v>
      </c>
      <c r="C15" s="2" t="s">
        <v>57</v>
      </c>
      <c r="D15" s="3">
        <v>559650</v>
      </c>
    </row>
    <row r="16" spans="1:4">
      <c r="A16" s="2" t="s">
        <v>501</v>
      </c>
      <c r="B16" s="2" t="s">
        <v>7</v>
      </c>
      <c r="C16" s="2" t="s">
        <v>57</v>
      </c>
      <c r="D16" s="3">
        <v>1973.6999999999998</v>
      </c>
    </row>
    <row r="17" spans="1:4">
      <c r="A17" s="2" t="s">
        <v>502</v>
      </c>
      <c r="B17" s="2" t="s">
        <v>2</v>
      </c>
      <c r="C17" s="2" t="s">
        <v>59</v>
      </c>
      <c r="D17" s="3">
        <v>186550</v>
      </c>
    </row>
    <row r="18" spans="1:4">
      <c r="A18" s="2" t="s">
        <v>503</v>
      </c>
      <c r="B18" s="2" t="s">
        <v>2</v>
      </c>
      <c r="C18" s="2" t="s">
        <v>59</v>
      </c>
      <c r="D18" s="3">
        <v>657.9</v>
      </c>
    </row>
    <row r="19" spans="1:4">
      <c r="A19" s="2" t="s">
        <v>505</v>
      </c>
      <c r="B19" s="2" t="s">
        <v>2</v>
      </c>
      <c r="C19" s="2" t="s">
        <v>60</v>
      </c>
      <c r="D19" s="3">
        <v>5032000</v>
      </c>
    </row>
    <row r="20" spans="1:4">
      <c r="A20" s="2" t="s">
        <v>506</v>
      </c>
      <c r="B20" s="2" t="s">
        <v>2</v>
      </c>
      <c r="C20" s="2" t="s">
        <v>60</v>
      </c>
      <c r="D20" s="3">
        <v>1887000</v>
      </c>
    </row>
    <row r="21" spans="1:4">
      <c r="A21" s="2" t="s">
        <v>507</v>
      </c>
      <c r="B21" s="2" t="s">
        <v>2</v>
      </c>
      <c r="C21" s="2" t="s">
        <v>60</v>
      </c>
      <c r="D21" s="3">
        <v>2516000</v>
      </c>
    </row>
    <row r="22" spans="1:4">
      <c r="A22" s="2" t="s">
        <v>508</v>
      </c>
      <c r="B22" s="2" t="s">
        <v>2</v>
      </c>
      <c r="C22" s="2" t="s">
        <v>671</v>
      </c>
      <c r="D22" s="3">
        <v>1258000</v>
      </c>
    </row>
    <row r="23" spans="1:4">
      <c r="A23" s="2" t="s">
        <v>509</v>
      </c>
      <c r="B23" s="2" t="s">
        <v>2</v>
      </c>
      <c r="C23" s="2" t="s">
        <v>671</v>
      </c>
      <c r="D23" s="3">
        <v>1258000</v>
      </c>
    </row>
    <row r="24" spans="1:4">
      <c r="A24" s="2" t="s">
        <v>517</v>
      </c>
      <c r="B24" s="2" t="s">
        <v>2</v>
      </c>
      <c r="C24" s="2" t="s">
        <v>62</v>
      </c>
      <c r="D24" s="3">
        <v>200000</v>
      </c>
    </row>
    <row r="25" spans="1:4">
      <c r="A25" s="2" t="s">
        <v>510</v>
      </c>
      <c r="B25" s="2" t="s">
        <v>2</v>
      </c>
      <c r="C25" s="2" t="s">
        <v>60</v>
      </c>
      <c r="D25" s="3">
        <v>150000</v>
      </c>
    </row>
    <row r="26" spans="1:4">
      <c r="A26" s="2" t="s">
        <v>453</v>
      </c>
      <c r="B26" s="2" t="s">
        <v>2</v>
      </c>
      <c r="C26" s="2" t="s">
        <v>65</v>
      </c>
      <c r="D26" s="3">
        <v>279000</v>
      </c>
    </row>
    <row r="27" spans="1:4">
      <c r="A27" s="2" t="s">
        <v>511</v>
      </c>
      <c r="B27" s="2" t="s">
        <v>10</v>
      </c>
      <c r="C27" s="2" t="s">
        <v>69</v>
      </c>
      <c r="D27" s="3">
        <v>113750</v>
      </c>
    </row>
    <row r="28" spans="1:4">
      <c r="A28" s="2" t="s">
        <v>221</v>
      </c>
      <c r="B28" s="2" t="s">
        <v>10</v>
      </c>
      <c r="C28" s="2" t="s">
        <v>67</v>
      </c>
      <c r="D28" s="3">
        <v>703500</v>
      </c>
    </row>
    <row r="29" spans="1:4">
      <c r="A29" s="2" t="s">
        <v>516</v>
      </c>
      <c r="B29" s="2" t="s">
        <v>10</v>
      </c>
      <c r="C29" s="2" t="s">
        <v>69</v>
      </c>
      <c r="D29" s="3">
        <v>4167285</v>
      </c>
    </row>
    <row r="30" spans="1:4">
      <c r="A30" s="2"/>
      <c r="B30" s="2"/>
      <c r="C30" s="2"/>
      <c r="D30" s="3"/>
    </row>
    <row r="31" spans="1:4">
      <c r="A31" s="2"/>
      <c r="B31" s="2"/>
      <c r="C31" s="2"/>
      <c r="D31" s="3"/>
    </row>
    <row r="32" spans="1:4">
      <c r="A32" t="s">
        <v>48</v>
      </c>
      <c r="D32" s="4">
        <f>SUBTOTAL(109,Tab_HEV[Energiemenge
'[kWh/a']])</f>
        <v>23283602.566666666</v>
      </c>
    </row>
    <row r="33" spans="1:4">
      <c r="A33" s="93" t="s">
        <v>73</v>
      </c>
      <c r="B33" s="16"/>
      <c r="C33" s="16"/>
      <c r="D33" s="16"/>
    </row>
    <row r="34" spans="1:4">
      <c r="A34" s="58" t="str">
        <f>IF(OR(P_wEVBHEVG,P_wEVBHEVP,P_wEVBHEVT),"Hinweis: Keine Einträge für den/die wesentlichen Energieverbrauchsbereich(e) "&amp;IF(P_wEVBHEVG,"[Gebäude] ","")&amp;IF(P_wEVBHEVP,"[Prozesse] ","")&amp;IF(P_wEVBHEVT,"[Transport] ","")&amp;"vorhanden!","")</f>
        <v/>
      </c>
      <c r="B34" s="16"/>
      <c r="C34" s="16"/>
      <c r="D34" s="16"/>
    </row>
    <row r="35" spans="1:4">
      <c r="A35" s="63" t="str">
        <f>IF(COUNT(Tab_HEV[Energiemenge
'[kWh/a']])&gt;COUNTA(Tab_HEV[Nutzungskategorie]),"Hinweis: Es sind nicht für alle Energiemengen entsprechende Nutzungskategorien zugeordnet!","")</f>
        <v/>
      </c>
      <c r="B35" s="16"/>
      <c r="C35" s="16"/>
      <c r="D35" s="16"/>
    </row>
    <row r="36" spans="1:4">
      <c r="A36" s="63" t="str">
        <f>IF(COUNT(Tab_HEV[Energiemenge
'[kWh/a']])&gt;COUNTA(Tab_HEV[Energieträger]),"Hinweis: Es sind nicht für alle Energiemengen entsprechende Energieträger zugeordnet!","")</f>
        <v/>
      </c>
      <c r="B36" s="63"/>
      <c r="C36" s="63"/>
      <c r="D36" s="63"/>
    </row>
    <row r="37" spans="1:4" ht="28.5" customHeight="1">
      <c r="A37" s="109" t="s">
        <v>603</v>
      </c>
      <c r="B37" s="109"/>
      <c r="C37" s="109"/>
      <c r="D37" s="109"/>
    </row>
    <row r="38" spans="1:4" ht="48.6" customHeight="1">
      <c r="A38" s="109" t="s">
        <v>604</v>
      </c>
      <c r="B38" s="109"/>
      <c r="C38" s="109"/>
      <c r="D38" s="109"/>
    </row>
    <row r="39" spans="1:4" ht="17.100000000000001" customHeight="1">
      <c r="A39" s="109" t="s">
        <v>642</v>
      </c>
      <c r="B39" s="109"/>
      <c r="C39" s="109"/>
      <c r="D39" s="109"/>
    </row>
    <row r="40" spans="1:4">
      <c r="A40" s="109" t="s">
        <v>627</v>
      </c>
      <c r="B40" s="109"/>
      <c r="C40" s="109"/>
      <c r="D40" s="109"/>
    </row>
  </sheetData>
  <sheetProtection algorithmName="SHA-512" hashValue="VIHvkp+Eu/iH25nNUXJNLW/ObR/Vj6wid/KAApNk6htJXR0yE+zdHe4kTUJjlrCzu/I3+ihywPcncTQTAg5Vwg==" saltValue="F9xre3l0vahniYsFyRC0/w==" spinCount="100000" sheet="1" objects="1" scenarios="1" formatColumns="0" insertRows="0" autoFilter="0"/>
  <mergeCells count="4">
    <mergeCell ref="A37:D37"/>
    <mergeCell ref="A38:D38"/>
    <mergeCell ref="A39:D39"/>
    <mergeCell ref="A40:D40"/>
  </mergeCells>
  <phoneticPr fontId="3" type="noConversion"/>
  <dataValidations count="3">
    <dataValidation type="list" errorStyle="information" allowBlank="1" showErrorMessage="1" errorTitle="Drop-Down-Menü" error="Bitte wählen Sie einen Wert aus dem vorgegebenen Drop-Down-Menü aus." sqref="C3:C31" xr:uid="{0D0CC413-A820-4BCB-ABDB-6F0E93323D2D}">
      <formula1>DD_NKat</formula1>
    </dataValidation>
    <dataValidation type="list" errorStyle="warning" allowBlank="1" showErrorMessage="1" errorTitle="Drop-Down-Menü" error="Bitte wählen Sie einen Wert aus dem vorgegebenen Drop-Down-Menü aus." sqref="B3:B31" xr:uid="{42C2532A-F7A9-4EF9-9B23-D17F0E1EE7A0}">
      <formula1>DD_ET</formula1>
    </dataValidation>
    <dataValidation type="decimal" operator="greaterThanOrEqual" allowBlank="1" showErrorMessage="1" errorTitle="Numerische Eingabe" error="Bitte geben Sie eine Zahl ein. Werte dürfen nicht negativ sein." sqref="D3:D31" xr:uid="{4FAACC67-C16E-4620-8594-4489A4C896B3}">
      <formula1>0</formula1>
    </dataValidation>
  </dataValidations>
  <hyperlinks>
    <hyperlink ref="D1" location="Ü_HEV" display="zurück zur Übersicht" xr:uid="{C8A7E05E-7083-4F56-ACF5-C64636E70A7F}"/>
  </hyperlinks>
  <pageMargins left="0.39370078740157483" right="0.39370078740157483" top="0.78740157480314965" bottom="0.78740157480314965" header="0.31496062992125984" footer="0.31496062992125984"/>
  <pageSetup paperSize="9" scale="82" fitToHeight="0" orientation="portrait" r:id="rId1"/>
  <headerFooter>
    <oddHeader>&amp;L&amp;9&amp;K0066A9Muster Standardisierter Kurzbericht&amp;C&amp;9&amp;K0066A9Arbeitsblatt &amp;A&amp;R&amp;9&amp;K0066A9Seite &amp;P/&amp;N</oddHeader>
    <oddFooter>&amp;C&amp;9&amp;K0066A9&amp;Z&amp;F</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1E7AFA-5ABA-446F-912A-CD70B0E6DF4A}">
  <sheetPr>
    <tabColor rgb="FFAEBCC5"/>
    <pageSetUpPr fitToPage="1"/>
  </sheetPr>
  <dimension ref="A1:N72"/>
  <sheetViews>
    <sheetView zoomScaleNormal="100" workbookViewId="0">
      <pane ySplit="1" topLeftCell="A2" activePane="bottomLeft" state="frozen"/>
      <selection activeCell="C22" sqref="C22"/>
      <selection pane="bottomLeft"/>
    </sheetView>
  </sheetViews>
  <sheetFormatPr baseColWidth="10" defaultRowHeight="14.25"/>
  <cols>
    <col min="1" max="1" width="27.25" customWidth="1"/>
    <col min="2" max="2" width="33.125" customWidth="1"/>
    <col min="3" max="5" width="12.125" customWidth="1"/>
    <col min="6" max="8" width="15.625" customWidth="1"/>
    <col min="9" max="14" width="13.75" customWidth="1"/>
  </cols>
  <sheetData>
    <row r="1" spans="1:14" ht="21" thickBot="1">
      <c r="A1" s="52" t="s">
        <v>648</v>
      </c>
      <c r="B1" s="52"/>
      <c r="C1" s="52"/>
      <c r="D1" s="52"/>
      <c r="E1" s="52"/>
      <c r="F1" s="52"/>
      <c r="G1" s="52"/>
      <c r="H1" s="52"/>
      <c r="I1" s="52"/>
      <c r="J1" s="52"/>
      <c r="K1" s="52"/>
      <c r="L1" s="52"/>
      <c r="M1" s="52"/>
      <c r="N1" s="56" t="s">
        <v>82</v>
      </c>
    </row>
    <row r="2" spans="1:14" ht="30" customHeight="1">
      <c r="A2" s="84" t="s">
        <v>12</v>
      </c>
      <c r="B2" s="85"/>
      <c r="C2" s="85"/>
      <c r="D2" s="85"/>
      <c r="E2" s="85"/>
      <c r="F2" s="85"/>
      <c r="G2" s="85"/>
      <c r="H2" s="85"/>
      <c r="I2" s="85"/>
      <c r="J2" s="85"/>
      <c r="K2" s="85"/>
      <c r="L2" s="85"/>
      <c r="M2" s="86" t="s">
        <v>82</v>
      </c>
      <c r="N2" s="87"/>
    </row>
    <row r="3" spans="1:14" s="1" customFormat="1" ht="46.5" customHeight="1">
      <c r="A3" s="8" t="s">
        <v>462</v>
      </c>
      <c r="B3" s="8" t="s">
        <v>16</v>
      </c>
      <c r="C3" s="8" t="s">
        <v>224</v>
      </c>
      <c r="D3" s="8" t="s">
        <v>225</v>
      </c>
      <c r="E3" s="8" t="s">
        <v>226</v>
      </c>
      <c r="F3" s="8" t="s">
        <v>620</v>
      </c>
      <c r="G3" s="8" t="s">
        <v>621</v>
      </c>
      <c r="H3" s="8" t="s">
        <v>622</v>
      </c>
      <c r="I3" s="8" t="s">
        <v>227</v>
      </c>
      <c r="J3" s="8" t="s">
        <v>229</v>
      </c>
      <c r="K3" s="8" t="s">
        <v>228</v>
      </c>
      <c r="L3" s="8" t="s">
        <v>230</v>
      </c>
      <c r="M3" s="8" t="s">
        <v>231</v>
      </c>
      <c r="N3" s="8" t="s">
        <v>232</v>
      </c>
    </row>
    <row r="4" spans="1:14">
      <c r="A4" s="2" t="s">
        <v>83</v>
      </c>
      <c r="B4" s="2" t="s">
        <v>17</v>
      </c>
      <c r="C4" s="72">
        <v>3500</v>
      </c>
      <c r="D4" s="72">
        <v>3500</v>
      </c>
      <c r="E4" s="72">
        <v>3500</v>
      </c>
      <c r="F4" s="72">
        <v>280000</v>
      </c>
      <c r="G4" s="72">
        <v>50000</v>
      </c>
      <c r="H4" s="72">
        <v>75000</v>
      </c>
      <c r="I4" s="74">
        <f>IFERROR(Tab_LKZGeb[[#This Row],[Energieverbrauch
Raumwärme
'[kWh/a']]]/Tab_LKZGeb[[#This Row],[beheizte
Nutzfläche
'[m²']]],0)</f>
        <v>80</v>
      </c>
      <c r="J4" s="75">
        <v>102</v>
      </c>
      <c r="K4" s="75">
        <f>IFERROR(Tab_LKZGeb[[#This Row],[Energieverbrauch
Raumkühlung
'[kWh/a']]]/Tab_LKZGeb[[#This Row],[gekühlte
Nutzfläche
'[m²']]],0)</f>
        <v>14.285714285714286</v>
      </c>
      <c r="L4" s="75">
        <v>16</v>
      </c>
      <c r="M4" s="75">
        <f>IFERROR(Tab_LKZGeb[[#This Row],[Energieverbrauch
Residuum
'[kWh/a']]]/Tab_LKZGeb[[#This Row],[Nutzfläche
gesamt
'[m²']]],0)</f>
        <v>21.428571428571427</v>
      </c>
      <c r="N4" s="75">
        <v>21.5</v>
      </c>
    </row>
    <row r="5" spans="1:14">
      <c r="A5" s="2" t="s">
        <v>479</v>
      </c>
      <c r="B5" s="2" t="s">
        <v>28</v>
      </c>
      <c r="C5" s="72">
        <v>25000</v>
      </c>
      <c r="D5" s="72">
        <v>15000</v>
      </c>
      <c r="E5" s="72">
        <v>5000</v>
      </c>
      <c r="F5" s="72">
        <v>900000</v>
      </c>
      <c r="G5" s="72">
        <v>100000</v>
      </c>
      <c r="H5" s="72">
        <v>420000</v>
      </c>
      <c r="I5" s="74">
        <f>IFERROR(Tab_LKZGeb[[#This Row],[Energieverbrauch
Raumwärme
'[kWh/a']]]/Tab_LKZGeb[[#This Row],[beheizte
Nutzfläche
'[m²']]],0)</f>
        <v>60</v>
      </c>
      <c r="J5" s="75">
        <v>60</v>
      </c>
      <c r="K5" s="75">
        <f>IFERROR(Tab_LKZGeb[[#This Row],[Energieverbrauch
Raumkühlung
'[kWh/a']]]/Tab_LKZGeb[[#This Row],[gekühlte
Nutzfläche
'[m²']]],0)</f>
        <v>20</v>
      </c>
      <c r="L5" s="75">
        <v>20</v>
      </c>
      <c r="M5" s="75">
        <f>IFERROR(Tab_LKZGeb[[#This Row],[Energieverbrauch
Residuum
'[kWh/a']]]/Tab_LKZGeb[[#This Row],[Nutzfläche
gesamt
'[m²']]],0)</f>
        <v>16.8</v>
      </c>
      <c r="N5" s="75">
        <v>18.149999999999999</v>
      </c>
    </row>
    <row r="6" spans="1:14">
      <c r="A6" s="2" t="s">
        <v>223</v>
      </c>
      <c r="B6" s="2" t="s">
        <v>28</v>
      </c>
      <c r="C6" s="72">
        <v>10000</v>
      </c>
      <c r="D6" s="72">
        <v>0</v>
      </c>
      <c r="E6" s="72">
        <v>10000</v>
      </c>
      <c r="F6" s="72">
        <v>0</v>
      </c>
      <c r="G6" s="72">
        <v>220000</v>
      </c>
      <c r="H6" s="72">
        <v>60000</v>
      </c>
      <c r="I6" s="74">
        <f>IFERROR(Tab_LKZGeb[[#This Row],[Energieverbrauch
Raumwärme
'[kWh/a']]]/Tab_LKZGeb[[#This Row],[beheizte
Nutzfläche
'[m²']]],0)</f>
        <v>0</v>
      </c>
      <c r="J6" s="75"/>
      <c r="K6" s="75">
        <f>IFERROR(Tab_LKZGeb[[#This Row],[Energieverbrauch
Raumkühlung
'[kWh/a']]]/Tab_LKZGeb[[#This Row],[gekühlte
Nutzfläche
'[m²']]],0)</f>
        <v>22</v>
      </c>
      <c r="L6" s="75"/>
      <c r="M6" s="75">
        <f>IFERROR(Tab_LKZGeb[[#This Row],[Energieverbrauch
Residuum
'[kWh/a']]]/Tab_LKZGeb[[#This Row],[Nutzfläche
gesamt
'[m²']]],0)</f>
        <v>6</v>
      </c>
      <c r="N6" s="75"/>
    </row>
    <row r="7" spans="1:14">
      <c r="A7" s="2" t="s">
        <v>480</v>
      </c>
      <c r="B7" s="2" t="s">
        <v>28</v>
      </c>
      <c r="C7" s="72">
        <v>30000</v>
      </c>
      <c r="D7" s="72">
        <v>14000</v>
      </c>
      <c r="E7" s="72">
        <v>10000</v>
      </c>
      <c r="F7" s="72">
        <v>560000</v>
      </c>
      <c r="G7" s="72">
        <v>150000</v>
      </c>
      <c r="H7" s="72">
        <v>515000</v>
      </c>
      <c r="I7" s="74">
        <f>IFERROR(Tab_LKZGeb[[#This Row],[Energieverbrauch
Raumwärme
'[kWh/a']]]/Tab_LKZGeb[[#This Row],[beheizte
Nutzfläche
'[m²']]],0)</f>
        <v>40</v>
      </c>
      <c r="J7" s="75"/>
      <c r="K7" s="75">
        <f>IFERROR(Tab_LKZGeb[[#This Row],[Energieverbrauch
Raumkühlung
'[kWh/a']]]/Tab_LKZGeb[[#This Row],[gekühlte
Nutzfläche
'[m²']]],0)</f>
        <v>15</v>
      </c>
      <c r="L7" s="75"/>
      <c r="M7" s="75">
        <f>IFERROR(Tab_LKZGeb[[#This Row],[Energieverbrauch
Residuum
'[kWh/a']]]/Tab_LKZGeb[[#This Row],[Nutzfläche
gesamt
'[m²']]],0)</f>
        <v>17.166666666666668</v>
      </c>
      <c r="N7" s="75"/>
    </row>
    <row r="8" spans="1:14">
      <c r="A8" s="2" t="s">
        <v>481</v>
      </c>
      <c r="B8" s="2" t="s">
        <v>28</v>
      </c>
      <c r="C8" s="72">
        <v>100000</v>
      </c>
      <c r="D8" s="72">
        <v>10000</v>
      </c>
      <c r="E8" s="72">
        <v>20000</v>
      </c>
      <c r="F8" s="72">
        <v>450000</v>
      </c>
      <c r="G8" s="72">
        <v>320000</v>
      </c>
      <c r="H8" s="72">
        <v>468000</v>
      </c>
      <c r="I8" s="74">
        <f>IFERROR(Tab_LKZGeb[[#This Row],[Energieverbrauch
Raumwärme
'[kWh/a']]]/Tab_LKZGeb[[#This Row],[beheizte
Nutzfläche
'[m²']]],0)</f>
        <v>45</v>
      </c>
      <c r="J8" s="75">
        <v>47</v>
      </c>
      <c r="K8" s="75">
        <f>IFERROR(Tab_LKZGeb[[#This Row],[Energieverbrauch
Raumkühlung
'[kWh/a']]]/Tab_LKZGeb[[#This Row],[gekühlte
Nutzfläche
'[m²']]],0)</f>
        <v>16</v>
      </c>
      <c r="L8" s="75">
        <v>18</v>
      </c>
      <c r="M8" s="75">
        <f>IFERROR(Tab_LKZGeb[[#This Row],[Energieverbrauch
Residuum
'[kWh/a']]]/Tab_LKZGeb[[#This Row],[Nutzfläche
gesamt
'[m²']]],0)</f>
        <v>4.68</v>
      </c>
      <c r="N8" s="75">
        <v>5.13</v>
      </c>
    </row>
    <row r="9" spans="1:14">
      <c r="A9" s="2"/>
      <c r="B9" s="2"/>
      <c r="C9" s="72"/>
      <c r="D9" s="72"/>
      <c r="E9" s="72"/>
      <c r="F9" s="72"/>
      <c r="G9" s="72"/>
      <c r="H9" s="72"/>
      <c r="I9" s="74">
        <f>IFERROR(Tab_LKZGeb[[#This Row],[Energieverbrauch
Raumwärme
'[kWh/a']]]/Tab_LKZGeb[[#This Row],[beheizte
Nutzfläche
'[m²']]],0)</f>
        <v>0</v>
      </c>
      <c r="J9" s="75"/>
      <c r="K9" s="75">
        <f>IFERROR(Tab_LKZGeb[[#This Row],[Energieverbrauch
Raumkühlung
'[kWh/a']]]/Tab_LKZGeb[[#This Row],[gekühlte
Nutzfläche
'[m²']]],0)</f>
        <v>0</v>
      </c>
      <c r="L9" s="75"/>
      <c r="M9" s="75">
        <f>IFERROR(Tab_LKZGeb[[#This Row],[Energieverbrauch
Residuum
'[kWh/a']]]/Tab_LKZGeb[[#This Row],[Nutzfläche
gesamt
'[m²']]],0)</f>
        <v>0</v>
      </c>
      <c r="N9" s="75"/>
    </row>
    <row r="10" spans="1:14">
      <c r="A10" s="2"/>
      <c r="B10" s="2"/>
      <c r="C10" s="72"/>
      <c r="D10" s="72"/>
      <c r="E10" s="72"/>
      <c r="F10" s="72"/>
      <c r="G10" s="72"/>
      <c r="H10" s="72"/>
      <c r="I10" s="74">
        <f>IFERROR(Tab_LKZGeb[[#This Row],[Energieverbrauch
Raumwärme
'[kWh/a']]]/Tab_LKZGeb[[#This Row],[beheizte
Nutzfläche
'[m²']]],0)</f>
        <v>0</v>
      </c>
      <c r="J10" s="75"/>
      <c r="K10" s="75">
        <f>IFERROR(Tab_LKZGeb[[#This Row],[Energieverbrauch
Raumkühlung
'[kWh/a']]]/Tab_LKZGeb[[#This Row],[gekühlte
Nutzfläche
'[m²']]],0)</f>
        <v>0</v>
      </c>
      <c r="L10" s="75"/>
      <c r="M10" s="75">
        <f>IFERROR(Tab_LKZGeb[[#This Row],[Energieverbrauch
Residuum
'[kWh/a']]]/Tab_LKZGeb[[#This Row],[Nutzfläche
gesamt
'[m²']]],0)</f>
        <v>0</v>
      </c>
      <c r="N10" s="75"/>
    </row>
    <row r="11" spans="1:14">
      <c r="A11" s="2"/>
      <c r="B11" s="2"/>
      <c r="C11" s="72"/>
      <c r="D11" s="72"/>
      <c r="E11" s="72"/>
      <c r="F11" s="72"/>
      <c r="G11" s="72"/>
      <c r="H11" s="72"/>
      <c r="I11" s="74">
        <f>IFERROR(Tab_LKZGeb[[#This Row],[Energieverbrauch
Raumwärme
'[kWh/a']]]/Tab_LKZGeb[[#This Row],[beheizte
Nutzfläche
'[m²']]],0)</f>
        <v>0</v>
      </c>
      <c r="J11" s="75"/>
      <c r="K11" s="75">
        <f>IFERROR(Tab_LKZGeb[[#This Row],[Energieverbrauch
Raumkühlung
'[kWh/a']]]/Tab_LKZGeb[[#This Row],[gekühlte
Nutzfläche
'[m²']]],0)</f>
        <v>0</v>
      </c>
      <c r="L11" s="75"/>
      <c r="M11" s="75">
        <f>IFERROR(Tab_LKZGeb[[#This Row],[Energieverbrauch
Residuum
'[kWh/a']]]/Tab_LKZGeb[[#This Row],[Nutzfläche
gesamt
'[m²']]],0)</f>
        <v>0</v>
      </c>
      <c r="N11" s="75"/>
    </row>
    <row r="12" spans="1:14">
      <c r="A12" s="2"/>
      <c r="B12" s="2"/>
      <c r="C12" s="72"/>
      <c r="D12" s="72"/>
      <c r="E12" s="72"/>
      <c r="F12" s="72"/>
      <c r="G12" s="72"/>
      <c r="H12" s="72"/>
      <c r="I12" s="74">
        <f>IFERROR(Tab_LKZGeb[[#This Row],[Energieverbrauch
Raumwärme
'[kWh/a']]]/Tab_LKZGeb[[#This Row],[beheizte
Nutzfläche
'[m²']]],0)</f>
        <v>0</v>
      </c>
      <c r="J12" s="75"/>
      <c r="K12" s="75">
        <f>IFERROR(Tab_LKZGeb[[#This Row],[Energieverbrauch
Raumkühlung
'[kWh/a']]]/Tab_LKZGeb[[#This Row],[gekühlte
Nutzfläche
'[m²']]],0)</f>
        <v>0</v>
      </c>
      <c r="L12" s="75"/>
      <c r="M12" s="75">
        <f>IFERROR(Tab_LKZGeb[[#This Row],[Energieverbrauch
Residuum
'[kWh/a']]]/Tab_LKZGeb[[#This Row],[Nutzfläche
gesamt
'[m²']]],0)</f>
        <v>0</v>
      </c>
      <c r="N12" s="75"/>
    </row>
    <row r="13" spans="1:14">
      <c r="A13" s="2"/>
      <c r="B13" s="2"/>
      <c r="C13" s="72"/>
      <c r="D13" s="72"/>
      <c r="E13" s="72"/>
      <c r="F13" s="72"/>
      <c r="G13" s="72"/>
      <c r="H13" s="72"/>
      <c r="I13" s="74">
        <f>IFERROR(Tab_LKZGeb[[#This Row],[Energieverbrauch
Raumwärme
'[kWh/a']]]/Tab_LKZGeb[[#This Row],[beheizte
Nutzfläche
'[m²']]],0)</f>
        <v>0</v>
      </c>
      <c r="J13" s="75"/>
      <c r="K13" s="75">
        <f>IFERROR(Tab_LKZGeb[[#This Row],[Energieverbrauch
Raumkühlung
'[kWh/a']]]/Tab_LKZGeb[[#This Row],[gekühlte
Nutzfläche
'[m²']]],0)</f>
        <v>0</v>
      </c>
      <c r="L13" s="75"/>
      <c r="M13" s="75">
        <f>IFERROR(Tab_LKZGeb[[#This Row],[Energieverbrauch
Residuum
'[kWh/a']]]/Tab_LKZGeb[[#This Row],[Nutzfläche
gesamt
'[m²']]],0)</f>
        <v>0</v>
      </c>
      <c r="N13" s="75"/>
    </row>
    <row r="14" spans="1:14">
      <c r="A14" s="2"/>
      <c r="B14" s="2"/>
      <c r="C14" s="72"/>
      <c r="D14" s="72"/>
      <c r="E14" s="72"/>
      <c r="F14" s="72"/>
      <c r="G14" s="72"/>
      <c r="H14" s="72"/>
      <c r="I14" s="74">
        <f>IFERROR(Tab_LKZGeb[[#This Row],[Energieverbrauch
Raumwärme
'[kWh/a']]]/Tab_LKZGeb[[#This Row],[beheizte
Nutzfläche
'[m²']]],0)</f>
        <v>0</v>
      </c>
      <c r="J14" s="75"/>
      <c r="K14" s="75">
        <f>IFERROR(Tab_LKZGeb[[#This Row],[Energieverbrauch
Raumkühlung
'[kWh/a']]]/Tab_LKZGeb[[#This Row],[gekühlte
Nutzfläche
'[m²']]],0)</f>
        <v>0</v>
      </c>
      <c r="L14" s="75"/>
      <c r="M14" s="75">
        <f>IFERROR(Tab_LKZGeb[[#This Row],[Energieverbrauch
Residuum
'[kWh/a']]]/Tab_LKZGeb[[#This Row],[Nutzfläche
gesamt
'[m²']]],0)</f>
        <v>0</v>
      </c>
      <c r="N14" s="75"/>
    </row>
    <row r="15" spans="1:14">
      <c r="A15" t="s">
        <v>48</v>
      </c>
      <c r="F15" s="4"/>
      <c r="G15" s="4"/>
      <c r="H15" s="4"/>
    </row>
    <row r="16" spans="1:14">
      <c r="A16" s="93" t="s">
        <v>73</v>
      </c>
      <c r="B16" s="16"/>
      <c r="C16" s="16"/>
      <c r="D16" s="16"/>
      <c r="E16" s="16"/>
      <c r="F16" s="16"/>
      <c r="G16" s="16"/>
      <c r="H16" s="16"/>
      <c r="I16" s="16"/>
      <c r="J16" s="16"/>
      <c r="K16" s="16"/>
      <c r="L16" s="16"/>
      <c r="M16" s="16"/>
      <c r="N16" s="16"/>
    </row>
    <row r="17" spans="1:14">
      <c r="A17" s="58" t="str">
        <f>IF(P_wEVBLKZG,"Hinweis: Für den wesentlichen Energieverbrauchsbereich "&amp;Label_G&amp;" wurden keine Leistungskennzahlen eingetragen!","")</f>
        <v/>
      </c>
      <c r="B17" s="16"/>
      <c r="C17" s="16"/>
      <c r="D17" s="16"/>
      <c r="E17" s="16"/>
      <c r="F17" s="16"/>
      <c r="G17" s="16"/>
      <c r="H17" s="16"/>
      <c r="I17" s="16"/>
      <c r="J17" s="16"/>
      <c r="K17" s="16"/>
      <c r="L17" s="16"/>
      <c r="M17" s="16"/>
      <c r="N17" s="16"/>
    </row>
    <row r="18" spans="1:14">
      <c r="A18" s="58" t="str">
        <f>IF(COUNT(Tab_LKZGeb[Nutzfläche
gesamt
'[m²']])&gt;COUNTA(Tab_LKZGeb[Gebäudekategorie]),"Hinweis: Es sind nicht für alle Energiemengen entsprechende Gebäudekategorien zugeordnet!","")</f>
        <v/>
      </c>
      <c r="B18" s="16"/>
      <c r="C18" s="16"/>
      <c r="D18" s="16"/>
      <c r="E18" s="16"/>
      <c r="F18" s="16"/>
      <c r="G18" s="16"/>
      <c r="H18" s="16"/>
      <c r="I18" s="16"/>
      <c r="J18" s="16"/>
      <c r="K18" s="16"/>
      <c r="L18" s="16"/>
      <c r="M18" s="16"/>
      <c r="N18" s="16"/>
    </row>
    <row r="19" spans="1:14" ht="14.45" customHeight="1">
      <c r="A19" s="109" t="s">
        <v>611</v>
      </c>
      <c r="B19" s="109"/>
      <c r="C19" s="109"/>
      <c r="D19" s="109"/>
      <c r="E19" s="109"/>
      <c r="F19" s="109"/>
      <c r="G19" s="109"/>
      <c r="H19" s="109"/>
      <c r="I19" s="109"/>
      <c r="J19" s="109"/>
      <c r="K19" s="109"/>
      <c r="L19" s="109"/>
      <c r="M19" s="109"/>
      <c r="N19" s="109"/>
    </row>
    <row r="20" spans="1:14" ht="14.45" customHeight="1">
      <c r="A20" s="109" t="s">
        <v>630</v>
      </c>
      <c r="B20" s="109"/>
      <c r="C20" s="109"/>
      <c r="D20" s="109"/>
      <c r="E20" s="109"/>
      <c r="F20" s="109"/>
      <c r="G20" s="109"/>
      <c r="H20" s="109"/>
      <c r="I20" s="109"/>
      <c r="J20" s="109"/>
      <c r="K20" s="109"/>
      <c r="L20" s="109"/>
      <c r="M20" s="109"/>
      <c r="N20" s="109"/>
    </row>
    <row r="21" spans="1:14" ht="30.6" customHeight="1">
      <c r="A21" s="109" t="s">
        <v>675</v>
      </c>
      <c r="B21" s="109"/>
      <c r="C21" s="109"/>
      <c r="D21" s="109"/>
      <c r="E21" s="109"/>
      <c r="F21" s="109"/>
      <c r="G21" s="109"/>
      <c r="H21" s="109"/>
      <c r="I21" s="109"/>
      <c r="J21" s="109"/>
      <c r="K21" s="109"/>
      <c r="L21" s="109"/>
      <c r="M21" s="109"/>
      <c r="N21" s="109"/>
    </row>
    <row r="22" spans="1:14" ht="30.6" customHeight="1">
      <c r="A22" s="109" t="s">
        <v>676</v>
      </c>
      <c r="B22" s="109"/>
      <c r="C22" s="109"/>
      <c r="D22" s="109"/>
      <c r="E22" s="109"/>
      <c r="F22" s="109"/>
      <c r="G22" s="109"/>
      <c r="H22" s="109"/>
      <c r="I22" s="109"/>
      <c r="J22" s="109"/>
      <c r="K22" s="109"/>
      <c r="L22" s="109"/>
      <c r="M22" s="109"/>
      <c r="N22" s="109"/>
    </row>
    <row r="23" spans="1:14" ht="30.6" customHeight="1">
      <c r="A23" s="109" t="s">
        <v>677</v>
      </c>
      <c r="B23" s="109"/>
      <c r="C23" s="109"/>
      <c r="D23" s="109"/>
      <c r="E23" s="109"/>
      <c r="F23" s="109"/>
      <c r="G23" s="109"/>
      <c r="H23" s="109"/>
      <c r="I23" s="109"/>
      <c r="J23" s="109"/>
      <c r="K23" s="109"/>
      <c r="L23" s="109"/>
      <c r="M23" s="109"/>
      <c r="N23" s="109"/>
    </row>
    <row r="24" spans="1:14" ht="31.5" customHeight="1">
      <c r="A24" s="109" t="s">
        <v>628</v>
      </c>
      <c r="B24" s="109"/>
      <c r="C24" s="109"/>
      <c r="D24" s="109"/>
      <c r="E24" s="109"/>
      <c r="F24" s="109"/>
      <c r="G24" s="109"/>
      <c r="H24" s="109"/>
      <c r="I24" s="109"/>
      <c r="J24" s="109"/>
      <c r="K24" s="109"/>
      <c r="L24" s="109"/>
      <c r="M24" s="109"/>
      <c r="N24" s="109"/>
    </row>
    <row r="25" spans="1:14" ht="15" thickBot="1">
      <c r="A25" s="58"/>
      <c r="B25" s="16"/>
      <c r="C25" s="16"/>
      <c r="D25" s="16"/>
      <c r="E25" s="16"/>
      <c r="F25" s="16"/>
      <c r="G25" s="16"/>
      <c r="H25" s="16"/>
      <c r="I25" s="16"/>
      <c r="J25" s="16"/>
      <c r="K25" s="16"/>
      <c r="L25" s="16"/>
      <c r="M25" s="16"/>
      <c r="N25" s="16"/>
    </row>
    <row r="26" spans="1:14" ht="30" customHeight="1">
      <c r="A26" s="80" t="s">
        <v>76</v>
      </c>
      <c r="B26" s="81"/>
      <c r="C26" s="81"/>
      <c r="D26" s="81"/>
      <c r="E26" s="81"/>
      <c r="F26" s="81"/>
      <c r="G26" s="82" t="s">
        <v>82</v>
      </c>
      <c r="H26" s="83"/>
      <c r="I26" s="16"/>
      <c r="J26" s="16"/>
      <c r="K26" s="16"/>
      <c r="L26" s="16"/>
      <c r="M26" s="16"/>
      <c r="N26" s="16"/>
    </row>
    <row r="27" spans="1:14" ht="42.75">
      <c r="A27" s="8" t="s">
        <v>463</v>
      </c>
      <c r="B27" s="8" t="s">
        <v>84</v>
      </c>
      <c r="C27" s="8" t="s">
        <v>233</v>
      </c>
      <c r="D27" s="8" t="s">
        <v>85</v>
      </c>
      <c r="E27" s="8" t="s">
        <v>442</v>
      </c>
      <c r="F27" s="8" t="s">
        <v>618</v>
      </c>
      <c r="G27" s="8" t="s">
        <v>234</v>
      </c>
      <c r="H27" s="8" t="s">
        <v>86</v>
      </c>
      <c r="I27" s="16"/>
      <c r="J27" s="16"/>
      <c r="K27" s="16"/>
      <c r="L27" s="16"/>
      <c r="M27" s="16"/>
      <c r="N27" s="16"/>
    </row>
    <row r="28" spans="1:14">
      <c r="A28" s="2" t="s">
        <v>483</v>
      </c>
      <c r="B28" s="2" t="s">
        <v>482</v>
      </c>
      <c r="C28" s="3">
        <v>5200</v>
      </c>
      <c r="D28" s="2" t="s">
        <v>219</v>
      </c>
      <c r="E28" s="2"/>
      <c r="F28" s="3">
        <v>74620</v>
      </c>
      <c r="G28" s="10" t="str">
        <f>IFERROR(ROUND(Tab_LKZPro[[#This Row],[Energie-
verbrauch
'[kWh/a']]]/Tab_LKZPro[[#This Row],[Produzierte
Mengen]],1)&amp;" kWh/"&amp;IF(Tab_LKZPro[[#This Row],[Einheit]]=DropDown!$AA$9,Tab_LKZPro[[#This Row],[sonstige Einheit]],Tab_LKZPro[[#This Row],[Einheit]]),0)</f>
        <v>14,4 kWh/Tonnen</v>
      </c>
      <c r="H28" s="11" t="s">
        <v>655</v>
      </c>
      <c r="I28" s="16"/>
      <c r="J28" s="16"/>
      <c r="K28" s="16"/>
      <c r="L28" s="16"/>
      <c r="M28" s="16"/>
      <c r="N28" s="16"/>
    </row>
    <row r="29" spans="1:14">
      <c r="A29" s="2" t="s">
        <v>484</v>
      </c>
      <c r="B29" s="2" t="s">
        <v>482</v>
      </c>
      <c r="C29" s="3">
        <v>215</v>
      </c>
      <c r="D29" s="2" t="s">
        <v>488</v>
      </c>
      <c r="E29" s="2"/>
      <c r="F29" s="3">
        <v>2631.6</v>
      </c>
      <c r="G29" s="10" t="str">
        <f>IFERROR(ROUND(Tab_LKZPro[[#This Row],[Energie-
verbrauch
'[kWh/a']]]/Tab_LKZPro[[#This Row],[Produzierte
Mengen]],1)&amp;" kWh/"&amp;IF(Tab_LKZPro[[#This Row],[Einheit]]=DropDown!$AA$9,Tab_LKZPro[[#This Row],[sonstige Einheit]],Tab_LKZPro[[#This Row],[Einheit]]),0)</f>
        <v>12,2 kWh/Stück</v>
      </c>
      <c r="H29" s="11" t="s">
        <v>656</v>
      </c>
      <c r="I29" s="16"/>
      <c r="J29" s="16"/>
      <c r="K29" s="16"/>
      <c r="L29" s="16"/>
      <c r="M29" s="16"/>
      <c r="N29" s="16"/>
    </row>
    <row r="30" spans="1:14">
      <c r="A30" s="2" t="s">
        <v>486</v>
      </c>
      <c r="B30" s="2" t="s">
        <v>485</v>
      </c>
      <c r="C30" s="3">
        <v>7600</v>
      </c>
      <c r="D30" s="2" t="s">
        <v>219</v>
      </c>
      <c r="E30" s="2"/>
      <c r="F30" s="3">
        <v>7220000</v>
      </c>
      <c r="G30" s="10" t="str">
        <f>IFERROR(ROUND(Tab_LKZPro[[#This Row],[Energie-
verbrauch
'[kWh/a']]]/Tab_LKZPro[[#This Row],[Produzierte
Mengen]],1)&amp;" kWh/"&amp;IF(Tab_LKZPro[[#This Row],[Einheit]]=DropDown!$AA$9,Tab_LKZPro[[#This Row],[sonstige Einheit]],Tab_LKZPro[[#This Row],[Einheit]]),0)</f>
        <v>950 kWh/Tonnen</v>
      </c>
      <c r="H30" s="11" t="s">
        <v>657</v>
      </c>
      <c r="I30" s="16"/>
      <c r="J30" s="16"/>
      <c r="K30" s="16"/>
      <c r="L30" s="16"/>
      <c r="M30" s="16"/>
      <c r="N30" s="16"/>
    </row>
    <row r="31" spans="1:14">
      <c r="A31" s="2" t="s">
        <v>487</v>
      </c>
      <c r="B31" s="2" t="s">
        <v>485</v>
      </c>
      <c r="C31" s="3">
        <v>4000</v>
      </c>
      <c r="D31" s="2" t="s">
        <v>451</v>
      </c>
      <c r="E31" s="2"/>
      <c r="F31" s="3">
        <v>5360000</v>
      </c>
      <c r="G31" s="10" t="str">
        <f>IFERROR(ROUND(Tab_LKZPro[[#This Row],[Energie-
verbrauch
'[kWh/a']]]/Tab_LKZPro[[#This Row],[Produzierte
Mengen]],1)&amp;" kWh/"&amp;IF(Tab_LKZPro[[#This Row],[Einheit]]=DropDown!$AA$9,Tab_LKZPro[[#This Row],[sonstige Einheit]],Tab_LKZPro[[#This Row],[Einheit]]),0)</f>
        <v>1340 kWh/m³</v>
      </c>
      <c r="H31" s="11" t="s">
        <v>658</v>
      </c>
      <c r="I31" s="16"/>
      <c r="J31" s="16"/>
      <c r="K31" s="16"/>
      <c r="L31" s="16"/>
      <c r="M31" s="16"/>
      <c r="N31" s="16"/>
    </row>
    <row r="32" spans="1:14">
      <c r="A32" s="2"/>
      <c r="B32" s="2"/>
      <c r="C32" s="3"/>
      <c r="D32" s="2"/>
      <c r="E32" s="2"/>
      <c r="F32" s="3"/>
      <c r="G32" s="10">
        <f>IFERROR(ROUND(Tab_LKZPro[[#This Row],[Energie-
verbrauch
'[kWh/a']]]/Tab_LKZPro[[#This Row],[Produzierte
Mengen]],1)&amp;" kWh/"&amp;IF(Tab_LKZPro[[#This Row],[Einheit]]=DropDown!$AA$9,Tab_LKZPro[[#This Row],[sonstige Einheit]],Tab_LKZPro[[#This Row],[Einheit]]),0)</f>
        <v>0</v>
      </c>
      <c r="H32" s="11"/>
      <c r="I32" s="16"/>
      <c r="J32" s="16"/>
      <c r="K32" s="16"/>
      <c r="L32" s="16"/>
      <c r="M32" s="16"/>
      <c r="N32" s="16"/>
    </row>
    <row r="33" spans="1:14">
      <c r="A33" s="2"/>
      <c r="B33" s="2"/>
      <c r="C33" s="3"/>
      <c r="D33" s="2"/>
      <c r="E33" s="2"/>
      <c r="F33" s="3"/>
      <c r="G33" s="10">
        <f>IFERROR(ROUND(Tab_LKZPro[[#This Row],[Energie-
verbrauch
'[kWh/a']]]/Tab_LKZPro[[#This Row],[Produzierte
Mengen]],1)&amp;" kWh/"&amp;IF(Tab_LKZPro[[#This Row],[Einheit]]=DropDown!$AA$9,Tab_LKZPro[[#This Row],[sonstige Einheit]],Tab_LKZPro[[#This Row],[Einheit]]),0)</f>
        <v>0</v>
      </c>
      <c r="H33" s="11"/>
      <c r="I33" s="16"/>
      <c r="J33" s="16"/>
      <c r="K33" s="16"/>
      <c r="L33" s="16"/>
      <c r="M33" s="16"/>
      <c r="N33" s="16"/>
    </row>
    <row r="34" spans="1:14">
      <c r="A34" s="2"/>
      <c r="B34" s="2"/>
      <c r="C34" s="3"/>
      <c r="D34" s="2"/>
      <c r="E34" s="2"/>
      <c r="F34" s="3"/>
      <c r="G34" s="10">
        <f>IFERROR(ROUND(Tab_LKZPro[[#This Row],[Energie-
verbrauch
'[kWh/a']]]/Tab_LKZPro[[#This Row],[Produzierte
Mengen]],1)&amp;" kWh/"&amp;IF(Tab_LKZPro[[#This Row],[Einheit]]=DropDown!$AA$9,Tab_LKZPro[[#This Row],[sonstige Einheit]],Tab_LKZPro[[#This Row],[Einheit]]),0)</f>
        <v>0</v>
      </c>
      <c r="H34" s="11"/>
      <c r="I34" s="16"/>
      <c r="J34" s="16"/>
      <c r="K34" s="16"/>
      <c r="L34" s="16"/>
      <c r="M34" s="16"/>
      <c r="N34" s="16"/>
    </row>
    <row r="35" spans="1:14">
      <c r="A35" s="2"/>
      <c r="B35" s="2"/>
      <c r="C35" s="3"/>
      <c r="D35" s="2"/>
      <c r="E35" s="2"/>
      <c r="F35" s="3"/>
      <c r="G35" s="10">
        <f>IFERROR(ROUND(Tab_LKZPro[[#This Row],[Energie-
verbrauch
'[kWh/a']]]/Tab_LKZPro[[#This Row],[Produzierte
Mengen]],1)&amp;" kWh/"&amp;IF(Tab_LKZPro[[#This Row],[Einheit]]=DropDown!$AA$9,Tab_LKZPro[[#This Row],[sonstige Einheit]],Tab_LKZPro[[#This Row],[Einheit]]),0)</f>
        <v>0</v>
      </c>
      <c r="H35" s="11"/>
      <c r="I35" s="16"/>
      <c r="J35" s="16"/>
      <c r="K35" s="16"/>
      <c r="L35" s="16"/>
      <c r="M35" s="16"/>
      <c r="N35" s="16"/>
    </row>
    <row r="36" spans="1:14">
      <c r="A36" s="2"/>
      <c r="B36" s="2"/>
      <c r="C36" s="3"/>
      <c r="D36" s="2"/>
      <c r="E36" s="2"/>
      <c r="F36" s="3"/>
      <c r="G36" s="10">
        <f>IFERROR(ROUND(Tab_LKZPro[[#This Row],[Energie-
verbrauch
'[kWh/a']]]/Tab_LKZPro[[#This Row],[Produzierte
Mengen]],1)&amp;" kWh/"&amp;IF(Tab_LKZPro[[#This Row],[Einheit]]=DropDown!$AA$9,Tab_LKZPro[[#This Row],[sonstige Einheit]],Tab_LKZPro[[#This Row],[Einheit]]),0)</f>
        <v>0</v>
      </c>
      <c r="H36" s="11"/>
      <c r="I36" s="16"/>
      <c r="J36" s="16"/>
      <c r="K36" s="16"/>
      <c r="L36" s="16"/>
      <c r="M36" s="16"/>
      <c r="N36" s="16"/>
    </row>
    <row r="37" spans="1:14">
      <c r="A37" s="2"/>
      <c r="B37" s="2"/>
      <c r="C37" s="3"/>
      <c r="D37" s="2"/>
      <c r="E37" s="2"/>
      <c r="F37" s="3"/>
      <c r="G37" s="10">
        <f>IFERROR(ROUND(Tab_LKZPro[[#This Row],[Energie-
verbrauch
'[kWh/a']]]/Tab_LKZPro[[#This Row],[Produzierte
Mengen]],1)&amp;" kWh/"&amp;IF(Tab_LKZPro[[#This Row],[Einheit]]=DropDown!$AA$9,Tab_LKZPro[[#This Row],[sonstige Einheit]],Tab_LKZPro[[#This Row],[Einheit]]),0)</f>
        <v>0</v>
      </c>
      <c r="H37" s="11"/>
      <c r="I37" s="16"/>
      <c r="J37" s="16"/>
      <c r="K37" s="16"/>
      <c r="L37" s="16"/>
      <c r="M37" s="16"/>
      <c r="N37" s="16"/>
    </row>
    <row r="38" spans="1:14">
      <c r="A38" s="2"/>
      <c r="B38" s="2"/>
      <c r="C38" s="3"/>
      <c r="D38" s="2"/>
      <c r="E38" s="2"/>
      <c r="F38" s="3"/>
      <c r="G38" s="10">
        <f>IFERROR(ROUND(Tab_LKZPro[[#This Row],[Energie-
verbrauch
'[kWh/a']]]/Tab_LKZPro[[#This Row],[Produzierte
Mengen]],1)&amp;" kWh/"&amp;IF(Tab_LKZPro[[#This Row],[Einheit]]=DropDown!$AA$9,Tab_LKZPro[[#This Row],[sonstige Einheit]],Tab_LKZPro[[#This Row],[Einheit]]),0)</f>
        <v>0</v>
      </c>
      <c r="H38" s="11"/>
      <c r="I38" s="16"/>
      <c r="J38" s="16"/>
      <c r="K38" s="16"/>
      <c r="L38" s="16"/>
      <c r="M38" s="16"/>
      <c r="N38" s="16"/>
    </row>
    <row r="39" spans="1:14">
      <c r="A39" t="s">
        <v>48</v>
      </c>
      <c r="I39" s="16"/>
      <c r="J39" s="16"/>
      <c r="K39" s="16"/>
      <c r="L39" s="16"/>
      <c r="M39" s="16"/>
      <c r="N39" s="16"/>
    </row>
    <row r="40" spans="1:14">
      <c r="A40" s="93" t="s">
        <v>73</v>
      </c>
      <c r="B40" s="16"/>
      <c r="C40" s="16"/>
      <c r="D40" s="16"/>
      <c r="E40" s="16"/>
      <c r="F40" s="16"/>
      <c r="G40" s="16"/>
      <c r="H40" s="16"/>
      <c r="I40" s="16"/>
      <c r="J40" s="16"/>
      <c r="K40" s="16"/>
      <c r="L40" s="16"/>
      <c r="M40" s="16"/>
      <c r="N40" s="16"/>
    </row>
    <row r="41" spans="1:14">
      <c r="A41" s="58" t="str">
        <f>IF(P_wEVBLKZP,"Hinweis: Für den wesentlichen Energieverbrauchsbereich "&amp;Label_P&amp;" wurden keine Leistungskennzahlen eingetragen!","")</f>
        <v/>
      </c>
      <c r="B41" s="16"/>
      <c r="C41" s="16"/>
      <c r="D41" s="16"/>
      <c r="E41" s="16"/>
      <c r="F41" s="16"/>
      <c r="G41" s="16"/>
      <c r="H41" s="16"/>
      <c r="I41" s="16"/>
      <c r="J41" s="16"/>
      <c r="K41" s="16"/>
      <c r="L41" s="16"/>
      <c r="M41" s="16"/>
      <c r="N41" s="16"/>
    </row>
    <row r="42" spans="1:14">
      <c r="A42" s="58" t="str">
        <f>IF(COUNT(Tab_LKZPro[Energie-
verbrauch
'[kWh/a']])&gt;COUNTA(Tab_LKZPro[Produkt nach ÖCPA-Abteilung]),"Hinweis: Es sind nicht für alle Energiemengen entsprechende ÖCPA-Abteilungen zugeordnet!","")</f>
        <v/>
      </c>
      <c r="B42" s="16"/>
      <c r="C42" s="16"/>
      <c r="D42" s="16"/>
      <c r="E42" s="16"/>
      <c r="F42" s="16"/>
      <c r="G42" s="16"/>
      <c r="H42" s="16"/>
      <c r="I42" s="16"/>
      <c r="J42" s="16"/>
      <c r="K42" s="16"/>
      <c r="L42" s="16"/>
      <c r="M42" s="16"/>
      <c r="N42" s="16"/>
    </row>
    <row r="43" spans="1:14">
      <c r="A43" s="109" t="s">
        <v>629</v>
      </c>
      <c r="B43" s="109"/>
      <c r="C43" s="109"/>
      <c r="D43" s="109"/>
      <c r="E43" s="109"/>
      <c r="F43" s="109"/>
      <c r="G43" s="109"/>
      <c r="H43" s="109"/>
      <c r="I43" s="109"/>
      <c r="J43" s="109"/>
      <c r="K43" s="109"/>
      <c r="L43" s="109"/>
      <c r="M43" s="109"/>
      <c r="N43" s="109"/>
    </row>
    <row r="44" spans="1:14" ht="14.25" customHeight="1">
      <c r="A44" s="109" t="s">
        <v>678</v>
      </c>
      <c r="B44" s="109"/>
      <c r="C44" s="109"/>
      <c r="D44" s="109"/>
      <c r="E44" s="109"/>
      <c r="F44" s="109"/>
      <c r="G44" s="109"/>
      <c r="H44" s="109"/>
      <c r="I44" s="109"/>
      <c r="J44" s="109"/>
      <c r="K44" s="109"/>
      <c r="L44" s="109"/>
      <c r="M44" s="109"/>
      <c r="N44" s="109"/>
    </row>
    <row r="45" spans="1:14" ht="30" customHeight="1">
      <c r="A45" s="109" t="s">
        <v>631</v>
      </c>
      <c r="B45" s="109"/>
      <c r="C45" s="109"/>
      <c r="D45" s="109"/>
      <c r="E45" s="109"/>
      <c r="F45" s="109"/>
      <c r="G45" s="109"/>
      <c r="H45" s="109"/>
      <c r="I45" s="109"/>
      <c r="J45" s="109"/>
      <c r="K45" s="109"/>
      <c r="L45" s="109"/>
      <c r="M45" s="109"/>
      <c r="N45" s="109"/>
    </row>
    <row r="46" spans="1:14" ht="14.25" customHeight="1">
      <c r="A46" s="109" t="s">
        <v>632</v>
      </c>
      <c r="B46" s="109"/>
      <c r="C46" s="109"/>
      <c r="D46" s="109"/>
      <c r="E46" s="109"/>
      <c r="F46" s="109"/>
      <c r="G46" s="109"/>
      <c r="H46" s="109"/>
      <c r="I46" s="109"/>
      <c r="J46" s="109"/>
      <c r="K46" s="109"/>
      <c r="L46" s="109"/>
      <c r="M46" s="109"/>
      <c r="N46" s="109"/>
    </row>
    <row r="47" spans="1:14" ht="14.25" customHeight="1">
      <c r="A47" s="109" t="s">
        <v>679</v>
      </c>
      <c r="B47" s="109"/>
      <c r="C47" s="109"/>
      <c r="D47" s="109"/>
      <c r="E47" s="109"/>
      <c r="F47" s="109"/>
      <c r="G47" s="109"/>
      <c r="H47" s="109"/>
      <c r="I47" s="109"/>
      <c r="J47" s="109"/>
      <c r="K47" s="109"/>
      <c r="L47" s="109"/>
      <c r="M47" s="109"/>
      <c r="N47" s="109"/>
    </row>
    <row r="48" spans="1:14" ht="30.6" customHeight="1">
      <c r="A48" s="109" t="s">
        <v>633</v>
      </c>
      <c r="B48" s="109"/>
      <c r="C48" s="109"/>
      <c r="D48" s="109"/>
      <c r="E48" s="109"/>
      <c r="F48" s="109"/>
      <c r="G48" s="109"/>
      <c r="H48" s="109"/>
      <c r="I48" s="109"/>
      <c r="J48" s="109"/>
      <c r="K48" s="109"/>
      <c r="L48" s="109"/>
      <c r="M48" s="109"/>
      <c r="N48" s="109"/>
    </row>
    <row r="49" spans="1:14" ht="15" thickBot="1">
      <c r="A49" s="58"/>
      <c r="B49" s="16"/>
      <c r="C49" s="16"/>
      <c r="D49" s="16"/>
      <c r="E49" s="16"/>
      <c r="F49" s="16"/>
      <c r="G49" s="16"/>
      <c r="H49" s="16"/>
      <c r="I49" s="16"/>
      <c r="J49" s="16"/>
      <c r="K49" s="16"/>
      <c r="L49" s="16"/>
      <c r="M49" s="16"/>
      <c r="N49" s="16"/>
    </row>
    <row r="50" spans="1:14" ht="30" customHeight="1">
      <c r="A50" s="76" t="s">
        <v>14</v>
      </c>
      <c r="B50" s="77"/>
      <c r="C50" s="77"/>
      <c r="D50" s="77"/>
      <c r="E50" s="77"/>
      <c r="F50" s="78" t="s">
        <v>82</v>
      </c>
      <c r="G50" s="79"/>
      <c r="H50" s="16"/>
      <c r="I50" s="16"/>
      <c r="J50" s="16"/>
      <c r="K50" s="16"/>
      <c r="L50" s="16"/>
      <c r="M50" s="16"/>
      <c r="N50" s="16"/>
    </row>
    <row r="51" spans="1:14" ht="42.75">
      <c r="A51" s="8" t="s">
        <v>464</v>
      </c>
      <c r="B51" s="8" t="s">
        <v>40</v>
      </c>
      <c r="C51" s="8" t="s">
        <v>492</v>
      </c>
      <c r="D51" s="8" t="s">
        <v>636</v>
      </c>
      <c r="E51" s="8" t="s">
        <v>619</v>
      </c>
      <c r="F51" s="8" t="s">
        <v>493</v>
      </c>
      <c r="G51" s="8" t="s">
        <v>220</v>
      </c>
      <c r="H51" s="16"/>
      <c r="I51" s="16"/>
      <c r="J51" s="16"/>
      <c r="K51" s="16"/>
      <c r="L51" s="16"/>
      <c r="M51" s="16"/>
      <c r="N51" s="16"/>
    </row>
    <row r="52" spans="1:14">
      <c r="A52" s="2" t="s">
        <v>221</v>
      </c>
      <c r="B52" s="2" t="s">
        <v>29</v>
      </c>
      <c r="C52" s="2">
        <v>75</v>
      </c>
      <c r="D52" s="72">
        <v>1050000</v>
      </c>
      <c r="E52" s="72">
        <v>703500</v>
      </c>
      <c r="F52" s="12">
        <f>IFERROR(Tab_LKZTra[[#This Row],[Verbrauch
insgesamt
'[kWh/a']]]/Tab_LKZTra[[#This Row],[Fahrleistung
insgesamt
'[km/a']]],0)</f>
        <v>0.67</v>
      </c>
      <c r="G52" s="12">
        <v>0.67</v>
      </c>
      <c r="H52" s="16"/>
      <c r="I52" s="16"/>
      <c r="J52" s="16"/>
      <c r="K52" s="16"/>
      <c r="L52" s="16"/>
      <c r="M52" s="16"/>
      <c r="N52" s="16"/>
    </row>
    <row r="53" spans="1:14">
      <c r="A53" s="2" t="s">
        <v>222</v>
      </c>
      <c r="B53" s="2" t="s">
        <v>39</v>
      </c>
      <c r="C53" s="2">
        <v>25</v>
      </c>
      <c r="D53" s="72">
        <v>125000</v>
      </c>
      <c r="E53" s="72">
        <v>113750</v>
      </c>
      <c r="F53" s="12">
        <f>IFERROR(Tab_LKZTra[[#This Row],[Verbrauch
insgesamt
'[kWh/a']]]/Tab_LKZTra[[#This Row],[Fahrleistung
insgesamt
'[km/a']]],0)</f>
        <v>0.91</v>
      </c>
      <c r="G53" s="12">
        <v>0.91</v>
      </c>
      <c r="H53" s="16"/>
      <c r="I53" s="16"/>
      <c r="J53" s="16"/>
      <c r="K53" s="16"/>
      <c r="L53" s="16"/>
      <c r="M53" s="16"/>
      <c r="N53" s="16"/>
    </row>
    <row r="54" spans="1:14">
      <c r="A54" s="2" t="s">
        <v>489</v>
      </c>
      <c r="B54" s="2" t="s">
        <v>32</v>
      </c>
      <c r="C54" s="2">
        <v>50</v>
      </c>
      <c r="D54" s="72">
        <v>1000000</v>
      </c>
      <c r="E54" s="72">
        <v>1876200</v>
      </c>
      <c r="F54" s="12">
        <f>IFERROR(Tab_LKZTra[[#This Row],[Verbrauch
insgesamt
'[kWh/a']]]/Tab_LKZTra[[#This Row],[Fahrleistung
insgesamt
'[km/a']]],0)</f>
        <v>1.8762000000000001</v>
      </c>
      <c r="G54" s="12">
        <v>1.92</v>
      </c>
      <c r="H54" s="16"/>
      <c r="I54" s="16"/>
      <c r="J54" s="16"/>
      <c r="K54" s="16"/>
      <c r="L54" s="16"/>
      <c r="M54" s="16"/>
      <c r="N54" s="16"/>
    </row>
    <row r="55" spans="1:14">
      <c r="A55" s="2" t="s">
        <v>490</v>
      </c>
      <c r="B55" s="2" t="s">
        <v>32</v>
      </c>
      <c r="C55" s="2">
        <v>15</v>
      </c>
      <c r="D55" s="72">
        <v>525000</v>
      </c>
      <c r="E55" s="72">
        <v>1591485</v>
      </c>
      <c r="F55" s="12">
        <f>IFERROR(Tab_LKZTra[[#This Row],[Verbrauch
insgesamt
'[kWh/a']]]/Tab_LKZTra[[#This Row],[Fahrleistung
insgesamt
'[km/a']]],0)</f>
        <v>3.0314000000000001</v>
      </c>
      <c r="G55" s="12">
        <v>3.26</v>
      </c>
      <c r="H55" s="16"/>
      <c r="I55" s="16"/>
      <c r="J55" s="16"/>
      <c r="K55" s="16"/>
      <c r="L55" s="16"/>
      <c r="M55" s="16"/>
      <c r="N55" s="16"/>
    </row>
    <row r="56" spans="1:14">
      <c r="A56" s="2" t="s">
        <v>491</v>
      </c>
      <c r="B56" s="2" t="s">
        <v>31</v>
      </c>
      <c r="C56" s="2">
        <v>40</v>
      </c>
      <c r="D56" s="72">
        <v>800000</v>
      </c>
      <c r="E56" s="72">
        <v>699600</v>
      </c>
      <c r="F56" s="12">
        <f>IFERROR(Tab_LKZTra[[#This Row],[Verbrauch
insgesamt
'[kWh/a']]]/Tab_LKZTra[[#This Row],[Fahrleistung
insgesamt
'[km/a']]],0)</f>
        <v>0.87450000000000006</v>
      </c>
      <c r="G56" s="12">
        <v>0.89</v>
      </c>
      <c r="H56" s="16"/>
      <c r="I56" s="16"/>
      <c r="J56" s="16"/>
      <c r="K56" s="16"/>
      <c r="L56" s="16"/>
      <c r="M56" s="16"/>
      <c r="N56" s="16"/>
    </row>
    <row r="57" spans="1:14">
      <c r="A57" s="2"/>
      <c r="B57" s="2"/>
      <c r="C57" s="2"/>
      <c r="D57" s="72"/>
      <c r="E57" s="72"/>
      <c r="F57" s="12">
        <f>IFERROR(Tab_LKZTra[[#This Row],[Verbrauch
insgesamt
'[kWh/a']]]/Tab_LKZTra[[#This Row],[Fahrleistung
insgesamt
'[km/a']]],0)</f>
        <v>0</v>
      </c>
      <c r="G57" s="12"/>
      <c r="H57" s="16"/>
      <c r="I57" s="16"/>
      <c r="J57" s="16"/>
      <c r="K57" s="16"/>
      <c r="L57" s="16"/>
      <c r="M57" s="16"/>
      <c r="N57" s="16"/>
    </row>
    <row r="58" spans="1:14">
      <c r="A58" s="2"/>
      <c r="B58" s="2"/>
      <c r="C58" s="2"/>
      <c r="D58" s="72"/>
      <c r="E58" s="72"/>
      <c r="F58" s="12">
        <f>IFERROR(Tab_LKZTra[[#This Row],[Verbrauch
insgesamt
'[kWh/a']]]/Tab_LKZTra[[#This Row],[Fahrleistung
insgesamt
'[km/a']]],0)</f>
        <v>0</v>
      </c>
      <c r="G58" s="12"/>
      <c r="H58" s="16"/>
      <c r="I58" s="16"/>
      <c r="J58" s="16"/>
      <c r="K58" s="16"/>
      <c r="L58" s="16"/>
      <c r="M58" s="16"/>
      <c r="N58" s="16"/>
    </row>
    <row r="59" spans="1:14">
      <c r="A59" s="2"/>
      <c r="B59" s="2"/>
      <c r="C59" s="2"/>
      <c r="D59" s="72"/>
      <c r="E59" s="72"/>
      <c r="F59" s="12">
        <f>IFERROR(Tab_LKZTra[[#This Row],[Verbrauch
insgesamt
'[kWh/a']]]/Tab_LKZTra[[#This Row],[Fahrleistung
insgesamt
'[km/a']]],0)</f>
        <v>0</v>
      </c>
      <c r="G59" s="12"/>
      <c r="H59" s="16"/>
      <c r="I59" s="16"/>
      <c r="J59" s="16"/>
      <c r="K59" s="16"/>
      <c r="L59" s="16"/>
      <c r="M59" s="16"/>
      <c r="N59" s="16"/>
    </row>
    <row r="60" spans="1:14">
      <c r="A60" s="2"/>
      <c r="B60" s="2"/>
      <c r="C60" s="2"/>
      <c r="D60" s="72"/>
      <c r="E60" s="72"/>
      <c r="F60" s="12">
        <f>IFERROR(Tab_LKZTra[[#This Row],[Verbrauch
insgesamt
'[kWh/a']]]/Tab_LKZTra[[#This Row],[Fahrleistung
insgesamt
'[km/a']]],0)</f>
        <v>0</v>
      </c>
      <c r="G60" s="12"/>
      <c r="H60" s="16"/>
      <c r="I60" s="16"/>
      <c r="J60" s="16"/>
      <c r="K60" s="16"/>
      <c r="L60" s="16"/>
      <c r="M60" s="16"/>
      <c r="N60" s="16"/>
    </row>
    <row r="61" spans="1:14">
      <c r="A61" s="2"/>
      <c r="B61" s="2"/>
      <c r="C61" s="2"/>
      <c r="D61" s="72"/>
      <c r="E61" s="72"/>
      <c r="F61" s="12">
        <f>IFERROR(Tab_LKZTra[[#This Row],[Verbrauch
insgesamt
'[kWh/a']]]/Tab_LKZTra[[#This Row],[Fahrleistung
insgesamt
'[km/a']]],0)</f>
        <v>0</v>
      </c>
      <c r="G61" s="12"/>
      <c r="H61" s="16"/>
      <c r="I61" s="16"/>
      <c r="J61" s="16"/>
      <c r="K61" s="16"/>
      <c r="L61" s="16"/>
      <c r="M61" s="16"/>
      <c r="N61" s="16"/>
    </row>
    <row r="62" spans="1:14">
      <c r="A62" s="2"/>
      <c r="B62" s="2"/>
      <c r="C62" s="2"/>
      <c r="D62" s="72"/>
      <c r="E62" s="72"/>
      <c r="F62" s="12">
        <f>IFERROR(Tab_LKZTra[[#This Row],[Verbrauch
insgesamt
'[kWh/a']]]/Tab_LKZTra[[#This Row],[Fahrleistung
insgesamt
'[km/a']]],0)</f>
        <v>0</v>
      </c>
      <c r="G62" s="12"/>
      <c r="H62" s="16"/>
      <c r="I62" s="16"/>
      <c r="J62" s="16"/>
      <c r="K62" s="16"/>
      <c r="L62" s="16"/>
      <c r="M62" s="16"/>
      <c r="N62" s="16"/>
    </row>
    <row r="63" spans="1:14">
      <c r="A63" t="s">
        <v>48</v>
      </c>
      <c r="H63" s="16"/>
      <c r="I63" s="16"/>
      <c r="J63" s="16"/>
      <c r="K63" s="16"/>
      <c r="L63" s="16"/>
      <c r="M63" s="16"/>
      <c r="N63" s="16"/>
    </row>
    <row r="64" spans="1:14">
      <c r="A64" s="93" t="s">
        <v>73</v>
      </c>
      <c r="B64" s="16"/>
      <c r="C64" s="16"/>
      <c r="D64" s="16"/>
      <c r="E64" s="16"/>
      <c r="F64" s="16"/>
      <c r="G64" s="16"/>
      <c r="H64" s="16"/>
      <c r="I64" s="16"/>
      <c r="J64" s="16"/>
      <c r="K64" s="16"/>
      <c r="L64" s="16"/>
      <c r="M64" s="16"/>
      <c r="N64" s="16"/>
    </row>
    <row r="65" spans="1:14">
      <c r="A65" s="58" t="str">
        <f>IF(P_wEVBLKZT,"Hinweis: Für den wesentlichen Energieverbrauchsbereich "&amp;Label_T&amp;" wurden keine Leistungskennzahlen eingetragen!","")</f>
        <v/>
      </c>
      <c r="B65" s="16"/>
      <c r="C65" s="16"/>
      <c r="D65" s="16"/>
      <c r="E65" s="16"/>
      <c r="F65" s="16"/>
      <c r="G65" s="16"/>
      <c r="H65" s="16"/>
      <c r="I65" s="16"/>
      <c r="J65" s="16"/>
      <c r="K65" s="16"/>
      <c r="L65" s="16"/>
      <c r="M65" s="16"/>
      <c r="N65" s="16"/>
    </row>
    <row r="66" spans="1:14">
      <c r="A66" s="58" t="str">
        <f>IF(COUNT(Tab_LKZTra[Verbrauch
insgesamt
'[kWh/a']])&gt;COUNTA(Tab_LKZTra[Fahrzeugklasse]),"Hinweis: Es sind nicht für alle Energiemengen entsprechende Fahrzeugklassen zugeordnet!","")</f>
        <v/>
      </c>
      <c r="B66" s="16"/>
      <c r="C66" s="16"/>
      <c r="D66" s="16"/>
      <c r="E66" s="16"/>
      <c r="F66" s="16"/>
      <c r="G66" s="16"/>
      <c r="H66" s="16"/>
      <c r="I66" s="16"/>
      <c r="J66" s="16"/>
      <c r="K66" s="16"/>
      <c r="L66" s="16"/>
      <c r="M66" s="16"/>
      <c r="N66" s="16"/>
    </row>
    <row r="67" spans="1:14">
      <c r="A67" s="109" t="s">
        <v>634</v>
      </c>
      <c r="B67" s="109"/>
      <c r="C67" s="109"/>
      <c r="D67" s="109"/>
      <c r="E67" s="109"/>
      <c r="F67" s="109"/>
      <c r="G67" s="109"/>
      <c r="H67" s="109"/>
      <c r="I67" s="109"/>
      <c r="J67" s="109"/>
      <c r="K67" s="109"/>
      <c r="L67" s="109"/>
      <c r="M67" s="109"/>
      <c r="N67" s="109"/>
    </row>
    <row r="68" spans="1:14">
      <c r="A68" s="109" t="s">
        <v>635</v>
      </c>
      <c r="B68" s="109"/>
      <c r="C68" s="109"/>
      <c r="D68" s="109"/>
      <c r="E68" s="109"/>
      <c r="F68" s="109"/>
      <c r="G68" s="109"/>
      <c r="H68" s="109"/>
      <c r="I68" s="109"/>
      <c r="J68" s="109"/>
      <c r="K68" s="109"/>
      <c r="L68" s="109"/>
      <c r="M68" s="109"/>
      <c r="N68" s="109"/>
    </row>
    <row r="69" spans="1:14">
      <c r="A69" s="109" t="s">
        <v>637</v>
      </c>
      <c r="B69" s="109"/>
      <c r="C69" s="109"/>
      <c r="D69" s="109"/>
      <c r="E69" s="109"/>
      <c r="F69" s="109"/>
      <c r="G69" s="109"/>
      <c r="H69" s="109"/>
      <c r="I69" s="109"/>
      <c r="J69" s="109"/>
      <c r="K69" s="109"/>
      <c r="L69" s="109"/>
      <c r="M69" s="109"/>
      <c r="N69" s="109"/>
    </row>
    <row r="70" spans="1:14">
      <c r="A70" s="109" t="s">
        <v>638</v>
      </c>
      <c r="B70" s="109"/>
      <c r="C70" s="109"/>
      <c r="D70" s="109"/>
      <c r="E70" s="109"/>
      <c r="F70" s="109"/>
      <c r="G70" s="109"/>
      <c r="H70" s="109"/>
      <c r="I70" s="109"/>
      <c r="J70" s="109"/>
      <c r="K70" s="109"/>
      <c r="L70" s="109"/>
      <c r="M70" s="109"/>
      <c r="N70" s="109"/>
    </row>
    <row r="71" spans="1:14" ht="14.25" customHeight="1">
      <c r="A71" s="109" t="s">
        <v>680</v>
      </c>
      <c r="B71" s="109"/>
      <c r="C71" s="109"/>
      <c r="D71" s="109"/>
      <c r="E71" s="109"/>
      <c r="F71" s="109"/>
      <c r="G71" s="109"/>
      <c r="H71" s="109"/>
      <c r="I71" s="109"/>
      <c r="J71" s="109"/>
      <c r="K71" s="109"/>
      <c r="L71" s="109"/>
      <c r="M71" s="109"/>
      <c r="N71" s="109"/>
    </row>
    <row r="72" spans="1:14">
      <c r="A72" s="109" t="s">
        <v>639</v>
      </c>
      <c r="B72" s="109"/>
      <c r="C72" s="109"/>
      <c r="D72" s="109"/>
      <c r="E72" s="109"/>
      <c r="F72" s="109"/>
      <c r="G72" s="109"/>
      <c r="H72" s="109"/>
      <c r="I72" s="109"/>
      <c r="J72" s="109"/>
      <c r="K72" s="109"/>
      <c r="L72" s="109"/>
      <c r="M72" s="109"/>
      <c r="N72" s="109"/>
    </row>
  </sheetData>
  <sheetProtection algorithmName="SHA-512" hashValue="Uw2yXJw3+SaUUzXpnQoQpCtksWEwSVhXOPWZiQWWaCdnc1hwRb7dJ79H+AWtvnTjtjEjfEpLfghL0wLOHG3MGw==" saltValue="2B3tsqLQHE8uBId9lBUs1Q==" spinCount="100000" sheet="1" objects="1" scenarios="1" formatColumns="0" insertRows="0" autoFilter="0"/>
  <mergeCells count="18">
    <mergeCell ref="A19:N19"/>
    <mergeCell ref="A20:N20"/>
    <mergeCell ref="A21:N21"/>
    <mergeCell ref="A22:N22"/>
    <mergeCell ref="A23:N23"/>
    <mergeCell ref="A46:N46"/>
    <mergeCell ref="A48:N48"/>
    <mergeCell ref="A67:N67"/>
    <mergeCell ref="A68:N68"/>
    <mergeCell ref="A24:N24"/>
    <mergeCell ref="A43:N43"/>
    <mergeCell ref="A44:N44"/>
    <mergeCell ref="A45:N45"/>
    <mergeCell ref="A69:N69"/>
    <mergeCell ref="A70:N70"/>
    <mergeCell ref="A71:N71"/>
    <mergeCell ref="A72:N72"/>
    <mergeCell ref="A47:N47"/>
  </mergeCells>
  <dataValidations count="5">
    <dataValidation type="list" errorStyle="warning" allowBlank="1" showErrorMessage="1" errorTitle="Drop-Down-Menü" error="Bitte wählen Sie einen Wert aus dem vorgegebenen Drop-Down-Menü aus." sqref="B28:B38" xr:uid="{21FFEC40-0996-4B65-BAC7-139DDD5C7E67}">
      <formula1>DD_ÖCPA</formula1>
    </dataValidation>
    <dataValidation type="list" errorStyle="warning" allowBlank="1" showErrorMessage="1" errorTitle="Drop-Down-Menü" error="Bitte wählen Sie einen Wert aus dem vorgegebenen Drop-Down-Menü aus." sqref="B52:B62" xr:uid="{CFDC8CF6-D679-4F32-B0FB-921B477B3B53}">
      <formula1>DD_FzgKat</formula1>
    </dataValidation>
    <dataValidation type="list" errorStyle="warning" allowBlank="1" showErrorMessage="1" errorTitle="Drop-Down-Menü" error="Bitte wählen Sie einen Wert aus dem vorgegebenen Drop-Down-Menü aus." sqref="D28:D38" xr:uid="{4D70DE50-171F-4319-9533-68ED8436B618}">
      <formula1>DD_Einheiten</formula1>
    </dataValidation>
    <dataValidation type="list" errorStyle="warning" allowBlank="1" showErrorMessage="1" errorTitle="Drop-Down-Menü" error="Bitte wählen Sie einen Wert aus dem vorgegebenen Drop-Down-Menü aus." sqref="B4:B14" xr:uid="{15EC5D5D-C859-48F0-B784-1FE75D112BDC}">
      <formula1>DD_GebKat</formula1>
    </dataValidation>
    <dataValidation type="decimal" operator="greaterThanOrEqual" allowBlank="1" showErrorMessage="1" errorTitle="Numerische Eingabe" error="Bitte geben Sie eine Zahl ein. Werte dürfen nicht negativ sein." sqref="C52:G62 C4:N14 F28:F38 C28:C38" xr:uid="{2D2C09C8-141A-43F1-B8D9-4B2188A3CE40}">
      <formula1>0</formula1>
    </dataValidation>
  </dataValidations>
  <hyperlinks>
    <hyperlink ref="N1" location="Übersicht!A12" display="zurück zur Übersicht" xr:uid="{87055D1F-35BE-46F3-BC1B-1378463F2A05}"/>
    <hyperlink ref="M2" location="Ü_LKZG" display="zurück zur Übersicht" xr:uid="{A7C6F6AB-86EC-475D-B5F5-3561C65EA095}"/>
    <hyperlink ref="G26" location="Ü_LKZP" display="zurück zur Übersicht" xr:uid="{C77DA3C3-B518-4ADE-A458-BDBD803B2161}"/>
    <hyperlink ref="F50" location="Ü_LKZT" display="zurück zur Übersicht" xr:uid="{01F1F055-1790-48D9-9ACB-B4EB4A6487BA}"/>
  </hyperlinks>
  <pageMargins left="0.39370078740157483" right="0.39370078740157483" top="0.78740157480314965" bottom="0.78740157480314965" header="0.31496062992125984" footer="0.31496062992125984"/>
  <pageSetup paperSize="8" scale="81" fitToHeight="0" orientation="landscape" r:id="rId1"/>
  <headerFooter>
    <oddHeader>&amp;L&amp;9&amp;K0066A9Muster Standardisierter Kurzbericht&amp;C&amp;9&amp;K0066A9Arbeitsblatt &amp;A&amp;R&amp;9&amp;K0066A9Seite &amp;P/&amp;N</oddHeader>
    <oddFooter>&amp;C&amp;9&amp;K0066A9&amp;Z&amp;F</oddFooter>
  </headerFooter>
  <rowBreaks count="2" manualBreakCount="2">
    <brk id="25" max="16383" man="1"/>
    <brk id="49" max="16383" man="1"/>
  </rowBreaks>
  <ignoredErrors>
    <ignoredError sqref="G28:G38" unlockedFormula="1"/>
  </ignoredErrors>
  <drawing r:id="rId2"/>
  <tableParts count="3">
    <tablePart r:id="rId3"/>
    <tablePart r:id="rId4"/>
    <tablePart r:id="rId5"/>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281D65-22FB-4464-AFAD-82A61747F990}">
  <sheetPr>
    <tabColor rgb="FFAEBCC5"/>
    <pageSetUpPr fitToPage="1"/>
  </sheetPr>
  <dimension ref="A1:F22"/>
  <sheetViews>
    <sheetView zoomScaleNormal="100" workbookViewId="0">
      <pane ySplit="1" topLeftCell="A2" activePane="bottomLeft" state="frozen"/>
      <selection pane="bottomLeft"/>
    </sheetView>
  </sheetViews>
  <sheetFormatPr baseColWidth="10" defaultRowHeight="14.25"/>
  <cols>
    <col min="1" max="1" width="30.625" customWidth="1"/>
    <col min="2" max="2" width="11.5" customWidth="1"/>
    <col min="3" max="3" width="12.75" customWidth="1"/>
    <col min="4" max="4" width="25.25" bestFit="1" customWidth="1"/>
    <col min="5" max="5" width="14.375" customWidth="1"/>
    <col min="6" max="6" width="27.625" bestFit="1" customWidth="1"/>
  </cols>
  <sheetData>
    <row r="1" spans="1:6" ht="20.25">
      <c r="A1" s="5" t="s">
        <v>606</v>
      </c>
      <c r="B1" s="5"/>
      <c r="C1" s="5"/>
      <c r="D1" s="5"/>
      <c r="E1" s="5"/>
      <c r="F1" s="56" t="s">
        <v>82</v>
      </c>
    </row>
    <row r="2" spans="1:6" ht="42.75">
      <c r="A2" s="73" t="s">
        <v>80</v>
      </c>
      <c r="B2" s="8" t="s">
        <v>497</v>
      </c>
      <c r="C2" s="8" t="s">
        <v>532</v>
      </c>
      <c r="D2" s="73" t="s">
        <v>41</v>
      </c>
      <c r="E2" s="8" t="s">
        <v>623</v>
      </c>
      <c r="F2" s="73" t="s">
        <v>524</v>
      </c>
    </row>
    <row r="3" spans="1:6">
      <c r="A3" s="2" t="s">
        <v>537</v>
      </c>
      <c r="B3" s="3">
        <v>50</v>
      </c>
      <c r="C3" s="3">
        <v>6000</v>
      </c>
      <c r="D3" s="2" t="s">
        <v>437</v>
      </c>
      <c r="E3" s="3">
        <v>500</v>
      </c>
      <c r="F3" s="3" t="s">
        <v>530</v>
      </c>
    </row>
    <row r="4" spans="1:6">
      <c r="A4" s="2" t="s">
        <v>538</v>
      </c>
      <c r="B4" s="3">
        <v>5</v>
      </c>
      <c r="C4" s="3">
        <v>8760</v>
      </c>
      <c r="D4" s="2" t="s">
        <v>437</v>
      </c>
      <c r="E4" s="3">
        <v>30000</v>
      </c>
      <c r="F4" s="3" t="s">
        <v>530</v>
      </c>
    </row>
    <row r="5" spans="1:6">
      <c r="A5" s="2" t="s">
        <v>539</v>
      </c>
      <c r="B5" s="3">
        <v>10</v>
      </c>
      <c r="C5" s="3">
        <v>4000</v>
      </c>
      <c r="D5" s="2" t="s">
        <v>438</v>
      </c>
      <c r="E5" s="3">
        <v>25000</v>
      </c>
      <c r="F5" s="3" t="s">
        <v>527</v>
      </c>
    </row>
    <row r="6" spans="1:6">
      <c r="A6" s="2"/>
      <c r="B6" s="3"/>
      <c r="C6" s="3"/>
      <c r="D6" s="2"/>
      <c r="E6" s="3"/>
      <c r="F6" s="3"/>
    </row>
    <row r="7" spans="1:6">
      <c r="A7" s="2"/>
      <c r="B7" s="3"/>
      <c r="C7" s="3"/>
      <c r="D7" s="2"/>
      <c r="E7" s="3"/>
      <c r="F7" s="3"/>
    </row>
    <row r="8" spans="1:6">
      <c r="A8" s="2"/>
      <c r="B8" s="3"/>
      <c r="C8" s="3"/>
      <c r="D8" s="2"/>
      <c r="E8" s="3"/>
      <c r="F8" s="3"/>
    </row>
    <row r="9" spans="1:6">
      <c r="A9" s="2"/>
      <c r="B9" s="3"/>
      <c r="C9" s="3"/>
      <c r="D9" s="2"/>
      <c r="E9" s="3"/>
      <c r="F9" s="3"/>
    </row>
    <row r="10" spans="1:6">
      <c r="A10" s="2"/>
      <c r="B10" s="3"/>
      <c r="C10" s="3"/>
      <c r="D10" s="2"/>
      <c r="E10" s="3"/>
      <c r="F10" s="3"/>
    </row>
    <row r="11" spans="1:6">
      <c r="A11" s="2"/>
      <c r="B11" s="3"/>
      <c r="C11" s="3"/>
      <c r="D11" s="2"/>
      <c r="E11" s="3"/>
      <c r="F11" s="3"/>
    </row>
    <row r="12" spans="1:6">
      <c r="A12" s="2"/>
      <c r="B12" s="3"/>
      <c r="C12" s="3"/>
      <c r="D12" s="2"/>
      <c r="E12" s="3"/>
      <c r="F12" s="3"/>
    </row>
    <row r="13" spans="1:6">
      <c r="A13" s="2"/>
      <c r="B13" s="3"/>
      <c r="C13" s="3"/>
      <c r="D13" s="2"/>
      <c r="E13" s="3"/>
      <c r="F13" s="3"/>
    </row>
    <row r="14" spans="1:6">
      <c r="A14" t="s">
        <v>48</v>
      </c>
    </row>
    <row r="15" spans="1:6">
      <c r="A15" s="71" t="s">
        <v>73</v>
      </c>
      <c r="B15" s="16"/>
      <c r="C15" s="16"/>
      <c r="D15" s="16"/>
      <c r="E15" s="16"/>
      <c r="F15" s="16"/>
    </row>
    <row r="16" spans="1:6">
      <c r="A16" s="16"/>
      <c r="B16" s="16"/>
      <c r="C16" s="16"/>
      <c r="D16" s="16"/>
      <c r="E16" s="16"/>
      <c r="F16" s="16"/>
    </row>
    <row r="17" spans="1:6" ht="17.45" customHeight="1">
      <c r="A17" s="109" t="s">
        <v>607</v>
      </c>
      <c r="B17" s="109"/>
      <c r="C17" s="109"/>
      <c r="D17" s="109"/>
      <c r="E17" s="109"/>
      <c r="F17" s="109"/>
    </row>
    <row r="18" spans="1:6">
      <c r="A18" s="109" t="s">
        <v>608</v>
      </c>
      <c r="B18" s="109"/>
      <c r="C18" s="109"/>
      <c r="D18" s="109"/>
      <c r="E18" s="109"/>
      <c r="F18" s="109"/>
    </row>
    <row r="19" spans="1:6" ht="14.25" customHeight="1">
      <c r="A19" s="109" t="s">
        <v>681</v>
      </c>
      <c r="B19" s="109"/>
      <c r="C19" s="109"/>
      <c r="D19" s="109"/>
      <c r="E19" s="109"/>
      <c r="F19" s="109"/>
    </row>
    <row r="20" spans="1:6">
      <c r="A20" s="109" t="s">
        <v>609</v>
      </c>
      <c r="B20" s="109"/>
      <c r="C20" s="109"/>
      <c r="D20" s="109"/>
      <c r="E20" s="109"/>
      <c r="F20" s="109"/>
    </row>
    <row r="21" spans="1:6" ht="30.95" customHeight="1">
      <c r="A21" s="115" t="s">
        <v>626</v>
      </c>
      <c r="B21" s="115"/>
      <c r="C21" s="115"/>
      <c r="D21" s="115"/>
      <c r="E21" s="115"/>
      <c r="F21" s="115"/>
    </row>
    <row r="22" spans="1:6" ht="30" customHeight="1">
      <c r="A22" s="109" t="s">
        <v>610</v>
      </c>
      <c r="B22" s="109"/>
      <c r="C22" s="109"/>
      <c r="D22" s="109"/>
      <c r="E22" s="109"/>
      <c r="F22" s="109"/>
    </row>
  </sheetData>
  <sheetProtection algorithmName="SHA-512" hashValue="nSQ5V9q0h0RsSGpR3O62MildacSX59pG2V+vycfBpMgfmJuqH2l5WFHZAcht0XdllC7iynlQaKKfUdHarVTflQ==" saltValue="yBPUKTr6N+GHUMcttzVFAg==" spinCount="100000" sheet="1" objects="1" scenarios="1" formatColumns="0" insertRows="0" autoFilter="0"/>
  <mergeCells count="6">
    <mergeCell ref="A22:F22"/>
    <mergeCell ref="A17:F17"/>
    <mergeCell ref="A18:F18"/>
    <mergeCell ref="A19:F19"/>
    <mergeCell ref="A20:F20"/>
    <mergeCell ref="A21:F21"/>
  </mergeCells>
  <dataValidations count="4">
    <dataValidation type="list" allowBlank="1" showErrorMessage="1" errorTitle="Drop-Down-Menü" error="Bitte wählen Sie einen Wert aus dem vorgegebenen Drop-Down-Menü aus." sqref="D3:D13" xr:uid="{2C34F091-F339-4157-AC94-DAF487B3B298}">
      <formula1>DD_AbwN</formula1>
    </dataValidation>
    <dataValidation type="decimal" allowBlank="1" showErrorMessage="1" errorTitle="Jährliche Betriebsstunden" error="Bitte geben Sie eine Zahl zwischen 0 und 8760 ein." sqref="C3:C13" xr:uid="{52449F45-85C0-458F-AFDA-B996C92D043E}">
      <formula1>0</formula1>
      <formula2>8760</formula2>
    </dataValidation>
    <dataValidation type="list" allowBlank="1" showErrorMessage="1" errorTitle="Drop-Down-Menü" error="Bitte wählen Sie einen Wert aus dem vorgegebenen Drop-Down-Menü aus." sqref="F3:F13" xr:uid="{668CD489-A45D-445B-BB46-6073BD84E8CE}">
      <formula1>DD_AbwNutzung</formula1>
    </dataValidation>
    <dataValidation type="decimal" operator="greaterThanOrEqual" allowBlank="1" showErrorMessage="1" errorTitle="Numerische Eingabe" error="Bitte geben Sie eine Zahl ein. Werte dürfen nicht negativ sein." sqref="B3:B13 E3:E13" xr:uid="{3A4EE7D7-1A20-43E3-9F45-05C982553C85}">
      <formula1>0</formula1>
    </dataValidation>
  </dataValidations>
  <hyperlinks>
    <hyperlink ref="F1" location="Ü_Abw" display="zurück zur Übersicht" xr:uid="{89CDCCD7-FAF8-4D84-A221-A28FB3B54DA3}"/>
  </hyperlinks>
  <pageMargins left="0.70866141732283472" right="0.70866141732283472" top="0.78740157480314965" bottom="0.78740157480314965" header="0.31496062992125984" footer="0.31496062992125984"/>
  <pageSetup paperSize="9" scale="65" fitToHeight="0" orientation="portrait" r:id="rId1"/>
  <headerFooter>
    <oddHeader>&amp;L&amp;9&amp;K0066A9Muster Standardisierter Kurzbericht&amp;C&amp;9&amp;K0066A9Arbeitsblatt &amp;A&amp;R&amp;9&amp;K0066A9Seite &amp;P/&amp;N</oddHeader>
    <oddFooter>&amp;C&amp;9&amp;K0066A9&amp;Z&amp;F</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5FAB5E-6941-4009-9CA1-99CE84C5EAF9}">
  <sheetPr>
    <tabColor rgb="FFAEBCC5"/>
    <pageSetUpPr fitToPage="1"/>
  </sheetPr>
  <dimension ref="A1:I29"/>
  <sheetViews>
    <sheetView workbookViewId="0"/>
  </sheetViews>
  <sheetFormatPr baseColWidth="10" defaultRowHeight="14.25"/>
  <cols>
    <col min="1" max="1" width="27.75" customWidth="1"/>
    <col min="2" max="2" width="12" customWidth="1"/>
    <col min="3" max="3" width="32.875" customWidth="1"/>
    <col min="4" max="5" width="13.125" customWidth="1"/>
    <col min="6" max="7" width="23.625" customWidth="1"/>
    <col min="8" max="8" width="22.5" customWidth="1"/>
    <col min="9" max="9" width="17.5" bestFit="1" customWidth="1"/>
  </cols>
  <sheetData>
    <row r="1" spans="1:9" ht="20.25">
      <c r="A1" s="5" t="s">
        <v>647</v>
      </c>
      <c r="B1" s="5"/>
      <c r="C1" s="5"/>
      <c r="D1" s="5"/>
      <c r="E1" s="5"/>
      <c r="F1" s="5"/>
      <c r="G1" s="5"/>
      <c r="H1" s="5"/>
      <c r="I1" s="56" t="s">
        <v>82</v>
      </c>
    </row>
    <row r="2" spans="1:9" ht="45" customHeight="1">
      <c r="A2" s="8" t="s">
        <v>238</v>
      </c>
      <c r="B2" s="8" t="s">
        <v>240</v>
      </c>
      <c r="C2" s="8" t="s">
        <v>241</v>
      </c>
      <c r="D2" s="8" t="s">
        <v>242</v>
      </c>
      <c r="E2" s="8" t="s">
        <v>243</v>
      </c>
      <c r="F2" s="8" t="s">
        <v>244</v>
      </c>
      <c r="G2" s="8" t="s">
        <v>246</v>
      </c>
      <c r="H2" s="8" t="s">
        <v>245</v>
      </c>
      <c r="I2" s="8" t="s">
        <v>247</v>
      </c>
    </row>
    <row r="3" spans="1:9">
      <c r="A3" s="2" t="s">
        <v>521</v>
      </c>
      <c r="B3" s="2" t="s">
        <v>236</v>
      </c>
      <c r="C3" s="2" t="s">
        <v>61</v>
      </c>
      <c r="D3" s="2" t="s">
        <v>2</v>
      </c>
      <c r="E3" s="2" t="s">
        <v>2</v>
      </c>
      <c r="F3" s="3">
        <v>5000</v>
      </c>
      <c r="G3" s="3">
        <v>750</v>
      </c>
      <c r="H3" s="3">
        <v>12000</v>
      </c>
      <c r="I3" s="2"/>
    </row>
    <row r="4" spans="1:9">
      <c r="A4" s="2" t="s">
        <v>522</v>
      </c>
      <c r="B4" s="2" t="s">
        <v>237</v>
      </c>
      <c r="C4" s="2" t="s">
        <v>60</v>
      </c>
      <c r="D4" s="2" t="s">
        <v>2</v>
      </c>
      <c r="E4" s="2" t="s">
        <v>2</v>
      </c>
      <c r="F4" s="3">
        <v>120000</v>
      </c>
      <c r="G4" s="3">
        <v>18000</v>
      </c>
      <c r="H4" s="3">
        <v>200000</v>
      </c>
      <c r="I4" s="2" t="s">
        <v>523</v>
      </c>
    </row>
    <row r="5" spans="1:9">
      <c r="A5" s="2" t="s">
        <v>543</v>
      </c>
      <c r="B5" s="2" t="s">
        <v>237</v>
      </c>
      <c r="C5" s="2" t="s">
        <v>56</v>
      </c>
      <c r="D5" s="2" t="s">
        <v>2</v>
      </c>
      <c r="E5" s="2" t="s">
        <v>4</v>
      </c>
      <c r="F5" s="3">
        <v>55000</v>
      </c>
      <c r="G5" s="3">
        <v>8250</v>
      </c>
      <c r="H5" s="3">
        <v>60000</v>
      </c>
      <c r="I5" s="2" t="s">
        <v>523</v>
      </c>
    </row>
    <row r="6" spans="1:9">
      <c r="A6" s="2" t="s">
        <v>544</v>
      </c>
      <c r="B6" s="2" t="s">
        <v>237</v>
      </c>
      <c r="C6" s="2" t="s">
        <v>56</v>
      </c>
      <c r="D6" s="2" t="s">
        <v>7</v>
      </c>
      <c r="E6" s="2" t="s">
        <v>4</v>
      </c>
      <c r="F6" s="3">
        <v>20000</v>
      </c>
      <c r="G6" s="3">
        <v>1600</v>
      </c>
      <c r="H6" s="3">
        <v>10000</v>
      </c>
      <c r="I6" s="2" t="s">
        <v>523</v>
      </c>
    </row>
    <row r="7" spans="1:9">
      <c r="A7" s="2" t="s">
        <v>545</v>
      </c>
      <c r="B7" s="2" t="s">
        <v>237</v>
      </c>
      <c r="C7" s="2" t="s">
        <v>66</v>
      </c>
      <c r="D7" s="2" t="s">
        <v>10</v>
      </c>
      <c r="E7" s="2" t="s">
        <v>2</v>
      </c>
      <c r="F7" s="3">
        <f>Hauptverbraucher!D28*0.2/0.7*10%</f>
        <v>20100</v>
      </c>
      <c r="G7" s="3">
        <v>3015</v>
      </c>
      <c r="H7" s="3">
        <f>Kennzahlen!C52*10%*30000</f>
        <v>225000</v>
      </c>
      <c r="I7" s="2" t="s">
        <v>523</v>
      </c>
    </row>
    <row r="8" spans="1:9">
      <c r="A8" s="2"/>
      <c r="B8" s="2"/>
      <c r="C8" s="2"/>
      <c r="D8" s="2"/>
      <c r="E8" s="2"/>
      <c r="F8" s="3"/>
      <c r="G8" s="3"/>
      <c r="H8" s="3"/>
      <c r="I8" s="2"/>
    </row>
    <row r="9" spans="1:9">
      <c r="A9" s="2"/>
      <c r="B9" s="2"/>
      <c r="C9" s="2"/>
      <c r="D9" s="2"/>
      <c r="E9" s="2"/>
      <c r="F9" s="3"/>
      <c r="G9" s="3"/>
      <c r="H9" s="3"/>
      <c r="I9" s="2"/>
    </row>
    <row r="10" spans="1:9">
      <c r="A10" s="2"/>
      <c r="B10" s="2"/>
      <c r="C10" s="2"/>
      <c r="D10" s="2"/>
      <c r="E10" s="2"/>
      <c r="F10" s="3"/>
      <c r="G10" s="3"/>
      <c r="H10" s="3"/>
      <c r="I10" s="2"/>
    </row>
    <row r="11" spans="1:9">
      <c r="A11" s="2"/>
      <c r="B11" s="2"/>
      <c r="C11" s="2"/>
      <c r="D11" s="2"/>
      <c r="E11" s="2"/>
      <c r="F11" s="3"/>
      <c r="G11" s="3"/>
      <c r="H11" s="3"/>
      <c r="I11" s="2"/>
    </row>
    <row r="12" spans="1:9">
      <c r="A12" s="2"/>
      <c r="B12" s="2"/>
      <c r="C12" s="2"/>
      <c r="D12" s="2"/>
      <c r="E12" s="2"/>
      <c r="F12" s="3"/>
      <c r="G12" s="3"/>
      <c r="H12" s="3"/>
      <c r="I12" s="2"/>
    </row>
    <row r="13" spans="1:9">
      <c r="A13" s="2"/>
      <c r="B13" s="2"/>
      <c r="C13" s="2"/>
      <c r="D13" s="2"/>
      <c r="E13" s="2"/>
      <c r="F13" s="3"/>
      <c r="G13" s="3"/>
      <c r="H13" s="3"/>
      <c r="I13" s="2"/>
    </row>
    <row r="14" spans="1:9">
      <c r="A14" s="2"/>
      <c r="B14" s="2"/>
      <c r="C14" s="2"/>
      <c r="D14" s="2"/>
      <c r="E14" s="2"/>
      <c r="F14" s="3"/>
      <c r="G14" s="3"/>
      <c r="H14" s="3"/>
      <c r="I14" s="2"/>
    </row>
    <row r="15" spans="1:9">
      <c r="A15" t="s">
        <v>48</v>
      </c>
    </row>
    <row r="16" spans="1:9">
      <c r="A16" s="71" t="s">
        <v>73</v>
      </c>
      <c r="B16" s="16"/>
      <c r="C16" s="16"/>
      <c r="D16" s="16"/>
      <c r="E16" s="16"/>
      <c r="F16" s="16"/>
      <c r="G16" s="16"/>
      <c r="H16" s="16"/>
      <c r="I16" s="16"/>
    </row>
    <row r="17" spans="1:9">
      <c r="A17" s="63" t="str">
        <f>IF(OR(P_wEVBMNG,P_wEVBMNP,P_wEVBMNT),"Hinweis: Keine Einträge für den/die wesentlichen Energieverbrauchsbereich(e) "&amp;IF(P_wEVBMNG,"[Gebäude] ","")&amp;IF(P_wEVBMNP,"[Prozesse] ","")&amp;IF(P_wEVBMNT,"[Transport] ","")&amp;"vorhanden!","")</f>
        <v/>
      </c>
      <c r="B17" s="16"/>
      <c r="C17" s="16"/>
      <c r="D17" s="16"/>
      <c r="E17" s="16"/>
      <c r="F17" s="16"/>
      <c r="G17" s="16"/>
      <c r="H17" s="16"/>
      <c r="I17" s="16"/>
    </row>
    <row r="18" spans="1:9">
      <c r="A18" s="63" t="str">
        <f>IF(COUNT(Tab_MN[erreichte bzw. potenzielle
Energieeinsparung
'[kWh/a']])&gt;COUNTA(Tab_MN[Umsetzungs-status]),"Hinweis: Bitte um Bekanntgabe bei allen Maßnahmen, ob diese identifiziert oder bereits umgesetzt wurden!","")</f>
        <v/>
      </c>
      <c r="B18" s="16"/>
      <c r="C18" s="16"/>
      <c r="D18" s="16"/>
      <c r="E18" s="16"/>
      <c r="F18" s="16"/>
      <c r="G18" s="16"/>
      <c r="H18" s="16"/>
      <c r="I18" s="16"/>
    </row>
    <row r="19" spans="1:9">
      <c r="A19" s="63" t="str">
        <f>IF(COUNT(Tab_MN[erreichte bzw. potenzielle
Energieeinsparung
'[kWh/a']])&gt;COUNTA(Tab_MN[Nutzungs-
kategorie]),"Hinweis: Angaben zur Nutzungskategorie bei Maßnahmen fehlen!","")</f>
        <v/>
      </c>
      <c r="B19" s="16"/>
      <c r="C19" s="16"/>
      <c r="D19" s="16"/>
      <c r="E19" s="16"/>
      <c r="F19" s="16"/>
      <c r="G19" s="16"/>
      <c r="H19" s="16"/>
      <c r="I19" s="16"/>
    </row>
    <row r="20" spans="1:9">
      <c r="A20" s="63" t="str">
        <f>IF(COUNT(Tab_MN[erreichte bzw. potenzielle
Energieeinsparung
'[kWh/a']])&gt;COUNTA(Tab_MN[[Haupt-
Energieträger
vorher]:[Haupt-
Energieträger
nachher]])/2,"Hinweis: Angaben zu Energieträgern bei Maßnahmen fehlen!","")</f>
        <v/>
      </c>
      <c r="B20" s="16"/>
      <c r="C20" s="16"/>
      <c r="D20" s="16"/>
      <c r="E20" s="16"/>
      <c r="F20" s="16"/>
      <c r="G20" s="16"/>
      <c r="H20" s="16"/>
      <c r="I20" s="16"/>
    </row>
    <row r="21" spans="1:9" ht="14.45" customHeight="1">
      <c r="A21" s="109" t="s">
        <v>641</v>
      </c>
      <c r="B21" s="109"/>
      <c r="C21" s="109"/>
      <c r="D21" s="109"/>
      <c r="E21" s="109"/>
      <c r="F21" s="109"/>
      <c r="G21" s="109"/>
      <c r="H21" s="109"/>
      <c r="I21" s="109"/>
    </row>
    <row r="22" spans="1:9" ht="14.45" customHeight="1">
      <c r="A22" s="109" t="s">
        <v>640</v>
      </c>
      <c r="B22" s="109"/>
      <c r="C22" s="109"/>
      <c r="D22" s="109"/>
      <c r="E22" s="109"/>
      <c r="F22" s="109"/>
      <c r="G22" s="109"/>
      <c r="H22" s="109"/>
      <c r="I22" s="109"/>
    </row>
    <row r="23" spans="1:9" ht="14.25" customHeight="1">
      <c r="A23" s="109" t="s">
        <v>682</v>
      </c>
      <c r="B23" s="109"/>
      <c r="C23" s="109"/>
      <c r="D23" s="109"/>
      <c r="E23" s="109"/>
      <c r="F23" s="109"/>
      <c r="G23" s="109"/>
      <c r="H23" s="109"/>
      <c r="I23" s="109"/>
    </row>
    <row r="24" spans="1:9" ht="14.45" customHeight="1">
      <c r="A24" s="109" t="s">
        <v>642</v>
      </c>
      <c r="B24" s="109"/>
      <c r="C24" s="109"/>
      <c r="D24" s="109"/>
      <c r="E24" s="109"/>
      <c r="F24" s="109"/>
      <c r="G24" s="109"/>
      <c r="H24" s="109"/>
      <c r="I24" s="109"/>
    </row>
    <row r="25" spans="1:9" ht="30.6" customHeight="1">
      <c r="A25" s="109" t="s">
        <v>683</v>
      </c>
      <c r="B25" s="109"/>
      <c r="C25" s="109"/>
      <c r="D25" s="109"/>
      <c r="E25" s="109"/>
      <c r="F25" s="109"/>
      <c r="G25" s="109"/>
      <c r="H25" s="109"/>
      <c r="I25" s="109"/>
    </row>
    <row r="26" spans="1:9">
      <c r="A26" s="109" t="s">
        <v>643</v>
      </c>
      <c r="B26" s="109"/>
      <c r="C26" s="109"/>
      <c r="D26" s="109"/>
      <c r="E26" s="109"/>
      <c r="F26" s="109"/>
      <c r="G26" s="109"/>
      <c r="H26" s="109"/>
      <c r="I26" s="109"/>
    </row>
    <row r="27" spans="1:9" ht="28.5" customHeight="1">
      <c r="A27" s="109" t="s">
        <v>684</v>
      </c>
      <c r="B27" s="109"/>
      <c r="C27" s="109"/>
      <c r="D27" s="109"/>
      <c r="E27" s="109"/>
      <c r="F27" s="109"/>
      <c r="G27" s="109"/>
      <c r="H27" s="109"/>
      <c r="I27" s="109"/>
    </row>
    <row r="28" spans="1:9">
      <c r="A28" s="109" t="s">
        <v>644</v>
      </c>
      <c r="B28" s="109"/>
      <c r="C28" s="109"/>
      <c r="D28" s="109"/>
      <c r="E28" s="109"/>
      <c r="F28" s="109"/>
      <c r="G28" s="109"/>
      <c r="H28" s="109"/>
      <c r="I28" s="109"/>
    </row>
    <row r="29" spans="1:9">
      <c r="A29" s="109" t="s">
        <v>645</v>
      </c>
      <c r="B29" s="109"/>
      <c r="C29" s="109"/>
      <c r="D29" s="109"/>
      <c r="E29" s="109"/>
      <c r="F29" s="109"/>
      <c r="G29" s="109"/>
      <c r="H29" s="109"/>
      <c r="I29" s="109"/>
    </row>
  </sheetData>
  <sheetProtection algorithmName="SHA-512" hashValue="M1SKg6nBHsLr8NCo4XntfG2C4CAu6GNcNUybkdS8AHgNvq4eh0fHmgbOAk1cfcSVGZbgfDk7m+cbMvzCvi3X4g==" saltValue="rW8Rh6saiQca+4mv6/MQjg==" spinCount="100000" sheet="1" objects="1" scenarios="1" formatColumns="0" insertRows="0" autoFilter="0"/>
  <mergeCells count="9">
    <mergeCell ref="A27:I27"/>
    <mergeCell ref="A28:I28"/>
    <mergeCell ref="A29:I29"/>
    <mergeCell ref="A22:I22"/>
    <mergeCell ref="A21:I21"/>
    <mergeCell ref="A23:I23"/>
    <mergeCell ref="A24:I24"/>
    <mergeCell ref="A25:I25"/>
    <mergeCell ref="A26:I26"/>
  </mergeCells>
  <dataValidations count="6">
    <dataValidation type="list" errorStyle="warning" allowBlank="1" showErrorMessage="1" errorTitle="Drop-Down-Menü" error="Bitte wählen Sie einen Wert aus dem vorgegebenen Drop-Down-Menü aus." sqref="C3:C14" xr:uid="{08DC29EF-C935-4848-8586-FCE4E90E6394}">
      <formula1>DD_NKat</formula1>
    </dataValidation>
    <dataValidation type="list" errorStyle="warning" allowBlank="1" showErrorMessage="1" errorTitle="Drop-Down-Menü" error="Bitte wählen Sie einen Wert aus dem vorgegebenen Drop-Down-Menü aus." sqref="B3:B14" xr:uid="{6EE0DB83-B597-4E47-9B0A-3DE62513419A}">
      <formula1>DD_MNStat</formula1>
    </dataValidation>
    <dataValidation type="list" errorStyle="warning" allowBlank="1" showErrorMessage="1" errorTitle="Drop-Down-Menü" error="Bitte wählen Sie einen Wert aus dem vorgegebenen Drop-Down-Menü aus." sqref="I3:I14" xr:uid="{2D07F8C9-7E00-400C-8607-B63E50BCC294}">
      <formula1>"ja,nein"</formula1>
    </dataValidation>
    <dataValidation type="decimal" operator="greaterThanOrEqual" allowBlank="1" showErrorMessage="1" errorTitle="Numerische Eingabe" error="Bitte geben Sie eine Zahl ein. Werte dürfen nicht negativ sein." sqref="H3:H14 F3:F14" xr:uid="{4AD52E35-DCC0-4BA0-A6B4-4499D089D4ED}">
      <formula1>0</formula1>
    </dataValidation>
    <dataValidation allowBlank="1" sqref="G3:G14" xr:uid="{904C459D-56BA-43E8-8A75-DD5BD02E83D5}"/>
    <dataValidation type="list" errorStyle="warning" allowBlank="1" showErrorMessage="1" errorTitle="Drop-Down-Menü" error="Bitte wählen Sie einen Wert aus dem vorgegebenen Drop-Down-Menü aus." sqref="D3:E14" xr:uid="{AF0C84AD-2D64-45C5-B4D9-4C96B5D911D4}">
      <formula1>DD_ET</formula1>
    </dataValidation>
  </dataValidations>
  <hyperlinks>
    <hyperlink ref="I1" location="Ü_EEMN" display="zurück zur Übersicht" xr:uid="{489B46AD-8D28-4F26-937E-2C5F23767763}"/>
  </hyperlinks>
  <pageMargins left="0.39370078740157483" right="0.39370078740157483" top="0.78740157480314965" bottom="0.78740157480314965" header="0.31496062992125984" footer="0.31496062992125984"/>
  <pageSetup paperSize="9" scale="68" fitToHeight="0" orientation="landscape" r:id="rId1"/>
  <headerFooter>
    <oddHeader>&amp;L&amp;9&amp;K0066A9Muster Standardisierter Kurzbericht&amp;C&amp;9&amp;K0066A9Arbeitsblatt &amp;A&amp;R&amp;9&amp;K0066A9Seite &amp;P/&amp;N</oddHeader>
    <oddFooter>&amp;C&amp;9&amp;K0066A9&amp;Z&amp;F</oddFooter>
  </headerFooter>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0E67CA-BD50-4507-A976-D863DECBC982}">
  <sheetPr>
    <tabColor rgb="FFAEBCC5"/>
    <pageSetUpPr fitToPage="1"/>
  </sheetPr>
  <dimension ref="A1:D19"/>
  <sheetViews>
    <sheetView workbookViewId="0"/>
  </sheetViews>
  <sheetFormatPr baseColWidth="10" defaultRowHeight="14.25"/>
  <cols>
    <col min="2" max="2" width="11.75" customWidth="1"/>
    <col min="3" max="3" width="26" customWidth="1"/>
    <col min="4" max="4" width="20.875" customWidth="1"/>
  </cols>
  <sheetData>
    <row r="1" spans="1:4" ht="20.25">
      <c r="A1" s="5" t="s">
        <v>646</v>
      </c>
      <c r="B1" s="5"/>
      <c r="C1" s="5"/>
      <c r="D1" s="56" t="s">
        <v>82</v>
      </c>
    </row>
    <row r="2" spans="1:4">
      <c r="A2" t="s">
        <v>44</v>
      </c>
      <c r="B2" t="s">
        <v>45</v>
      </c>
      <c r="C2" t="s">
        <v>43</v>
      </c>
      <c r="D2" t="s">
        <v>411</v>
      </c>
    </row>
    <row r="3" spans="1:4">
      <c r="A3" s="2" t="s">
        <v>540</v>
      </c>
      <c r="B3" s="2" t="s">
        <v>420</v>
      </c>
      <c r="C3" s="2" t="s">
        <v>541</v>
      </c>
      <c r="D3" s="2" t="s">
        <v>542</v>
      </c>
    </row>
    <row r="4" spans="1:4">
      <c r="A4" s="2"/>
      <c r="B4" s="2"/>
      <c r="C4" s="2"/>
      <c r="D4" s="2"/>
    </row>
    <row r="5" spans="1:4">
      <c r="A5" s="2"/>
      <c r="B5" s="2"/>
      <c r="C5" s="2"/>
      <c r="D5" s="2"/>
    </row>
    <row r="6" spans="1:4">
      <c r="A6" s="2"/>
      <c r="B6" s="2"/>
      <c r="C6" s="2"/>
      <c r="D6" s="2"/>
    </row>
    <row r="7" spans="1:4">
      <c r="A7" s="2"/>
      <c r="B7" s="2"/>
      <c r="C7" s="2"/>
      <c r="D7" s="2"/>
    </row>
    <row r="8" spans="1:4">
      <c r="A8" s="2"/>
      <c r="B8" s="2"/>
      <c r="C8" s="2"/>
      <c r="D8" s="2"/>
    </row>
    <row r="9" spans="1:4">
      <c r="A9" s="2"/>
      <c r="B9" s="2"/>
      <c r="C9" s="2"/>
      <c r="D9" s="2"/>
    </row>
    <row r="10" spans="1:4">
      <c r="A10" s="2"/>
      <c r="B10" s="2"/>
      <c r="C10" s="2"/>
      <c r="D10" s="2"/>
    </row>
    <row r="11" spans="1:4">
      <c r="A11" s="2"/>
      <c r="B11" s="2"/>
      <c r="C11" s="2"/>
      <c r="D11" s="2"/>
    </row>
    <row r="12" spans="1:4">
      <c r="A12" s="2"/>
      <c r="B12" s="2"/>
      <c r="C12" s="2"/>
      <c r="D12" s="2"/>
    </row>
    <row r="13" spans="1:4">
      <c r="A13" s="2"/>
      <c r="B13" s="2"/>
      <c r="C13" s="2"/>
      <c r="D13" s="2"/>
    </row>
    <row r="14" spans="1:4">
      <c r="A14" t="s">
        <v>48</v>
      </c>
    </row>
    <row r="15" spans="1:4">
      <c r="A15" s="66" t="s">
        <v>73</v>
      </c>
    </row>
    <row r="16" spans="1:4">
      <c r="A16" s="91" t="str">
        <f>IF(AND(COUNTIFS(Tab_Unt[Verpflichtungs-
erfüllung],DropDown!$I$4)+COUNTIFS(Tab_Unt[Verpflichtungs-
erfüllung],DropDown!$I$6)&gt;0,COUNTA(Tabelle9[ID elektronische Liste])=0),"Hinweis: Keine qualifizierte Energieauditor:in angegeben, obwohl zumindest ein Energieaudit durchgeführt wurde!","")</f>
        <v/>
      </c>
    </row>
    <row r="17" spans="1:4" ht="30.95" customHeight="1">
      <c r="A17" s="116" t="s">
        <v>685</v>
      </c>
      <c r="B17" s="116"/>
      <c r="C17" s="116"/>
      <c r="D17" s="116"/>
    </row>
    <row r="18" spans="1:4" ht="29.45" customHeight="1">
      <c r="A18" s="116" t="s">
        <v>686</v>
      </c>
      <c r="B18" s="116"/>
      <c r="C18" s="116"/>
      <c r="D18" s="116"/>
    </row>
    <row r="19" spans="1:4" ht="44.1" customHeight="1">
      <c r="A19" s="116" t="s">
        <v>649</v>
      </c>
      <c r="B19" s="116"/>
      <c r="C19" s="116"/>
      <c r="D19" s="116"/>
    </row>
  </sheetData>
  <sheetProtection algorithmName="SHA-512" hashValue="kdeGwCh9FpAxd4J3z951FFxZMpA5wC5RCAtreYbdPIyHwwPG6atJosKIZ2okRvWD4qSNBbbAVBFgiXZcDUj8hQ==" saltValue="pMrYtvLYtL99ctqG+A9UTA==" spinCount="100000" sheet="1" objects="1" scenarios="1" formatColumns="0" insertRows="0" autoFilter="0"/>
  <mergeCells count="3">
    <mergeCell ref="A17:D17"/>
    <mergeCell ref="A18:D18"/>
    <mergeCell ref="A19:D19"/>
  </mergeCells>
  <hyperlinks>
    <hyperlink ref="D1" location="Ü_Pers" display="zurück zur Übersicht" xr:uid="{3C21F8DB-1155-4292-B7E6-06D9618E48A4}"/>
  </hyperlinks>
  <pageMargins left="0.39370078740157483" right="0.39370078740157483" top="0.78740157480314965" bottom="0.78740157480314965" header="0.31496062992125984" footer="0.31496062992125984"/>
  <pageSetup paperSize="9" fitToHeight="0" orientation="portrait" r:id="rId1"/>
  <headerFooter>
    <oddHeader>&amp;L&amp;9&amp;K0066A9Muster Standardisierter Kurzbericht&amp;C&amp;9&amp;K0066A9Arbeitsblatt &amp;A&amp;R&amp;9&amp;K0066A9Seite &amp;P/&amp;N</oddHeader>
    <oddFooter>&amp;C&amp;9&amp;K0066A9&amp;Z&amp;F</oddFooter>
  </headerFooter>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49E93-964E-4573-9FA7-98CF98C67BD7}">
  <sheetPr>
    <tabColor theme="1"/>
  </sheetPr>
  <dimension ref="A1:AD92"/>
  <sheetViews>
    <sheetView zoomScaleNormal="100" workbookViewId="0"/>
  </sheetViews>
  <sheetFormatPr baseColWidth="10" defaultRowHeight="14.25"/>
  <cols>
    <col min="1" max="1" width="1.25" customWidth="1"/>
    <col min="2" max="2" width="6.5" customWidth="1"/>
    <col min="6" max="6" width="1.25" customWidth="1"/>
    <col min="7" max="7" width="23" customWidth="1"/>
    <col min="8" max="8" width="1.25" customWidth="1"/>
    <col min="9" max="9" width="28.625" customWidth="1"/>
    <col min="10" max="10" width="1.25" customWidth="1"/>
    <col min="11" max="11" width="20.625" customWidth="1"/>
    <col min="12" max="12" width="1.25" customWidth="1"/>
    <col min="13" max="13" width="44.25" customWidth="1"/>
    <col min="14" max="14" width="1.25" customWidth="1"/>
    <col min="15" max="15" width="32.5" customWidth="1"/>
    <col min="16" max="16" width="1.25" customWidth="1"/>
    <col min="17" max="17" width="5.125" customWidth="1"/>
    <col min="18" max="18" width="16.375" customWidth="1"/>
    <col min="20" max="20" width="1.25" customWidth="1"/>
    <col min="22" max="22" width="1.25" customWidth="1"/>
    <col min="23" max="23" width="32.25" customWidth="1"/>
    <col min="24" max="24" width="1.25" customWidth="1"/>
    <col min="25" max="25" width="25.25" bestFit="1" customWidth="1"/>
    <col min="26" max="26" width="1.25" customWidth="1"/>
    <col min="28" max="28" width="1.25" customWidth="1"/>
    <col min="30" max="30" width="1.25" customWidth="1"/>
  </cols>
  <sheetData>
    <row r="1" spans="1:30" ht="20.25">
      <c r="A1" s="5" t="s">
        <v>443</v>
      </c>
      <c r="B1" s="5"/>
      <c r="C1" s="5"/>
      <c r="D1" s="5"/>
      <c r="E1" s="5"/>
      <c r="F1" s="5"/>
      <c r="G1" s="5"/>
      <c r="H1" s="5"/>
      <c r="I1" s="5"/>
      <c r="J1" s="5"/>
      <c r="K1" s="5"/>
      <c r="L1" s="5"/>
      <c r="M1" s="5"/>
      <c r="N1" s="5"/>
      <c r="O1" s="5"/>
      <c r="P1" s="5"/>
      <c r="Q1" s="5"/>
      <c r="R1" s="5"/>
      <c r="S1" s="5"/>
      <c r="T1" s="5"/>
      <c r="U1" s="5"/>
      <c r="V1" s="5"/>
      <c r="W1" s="5"/>
      <c r="X1" s="5"/>
      <c r="Y1" s="5"/>
      <c r="Z1" s="5"/>
      <c r="AA1" s="5"/>
      <c r="AB1" s="5"/>
      <c r="AC1" s="5"/>
      <c r="AD1" s="5"/>
    </row>
    <row r="2" spans="1:30" ht="18">
      <c r="A2" s="9"/>
      <c r="B2" s="9" t="s">
        <v>406</v>
      </c>
      <c r="C2" s="9"/>
      <c r="D2" s="9"/>
      <c r="E2" s="9"/>
      <c r="F2" s="9"/>
      <c r="G2" s="9" t="s">
        <v>441</v>
      </c>
      <c r="H2" s="9"/>
      <c r="I2" s="9" t="s">
        <v>47</v>
      </c>
      <c r="J2" s="9"/>
      <c r="K2" s="9" t="s">
        <v>11</v>
      </c>
      <c r="L2" s="9"/>
      <c r="M2" s="9" t="s">
        <v>446</v>
      </c>
      <c r="N2" s="9"/>
      <c r="O2" s="9" t="s">
        <v>444</v>
      </c>
      <c r="P2" s="9"/>
      <c r="Q2" s="9" t="s">
        <v>447</v>
      </c>
      <c r="R2" s="9"/>
      <c r="S2" s="9"/>
      <c r="T2" s="9"/>
      <c r="U2" s="9"/>
      <c r="V2" s="9"/>
      <c r="W2" s="9" t="s">
        <v>445</v>
      </c>
      <c r="X2" s="9"/>
      <c r="Y2" s="9" t="s">
        <v>435</v>
      </c>
      <c r="Z2" s="9"/>
      <c r="AA2" s="9" t="s">
        <v>448</v>
      </c>
      <c r="AB2" s="9"/>
      <c r="AC2" s="9" t="s">
        <v>435</v>
      </c>
      <c r="AD2" s="9"/>
    </row>
    <row r="3" spans="1:30" ht="15.75">
      <c r="A3" s="19"/>
      <c r="B3" s="19" t="s">
        <v>87</v>
      </c>
      <c r="C3" s="19" t="s">
        <v>405</v>
      </c>
      <c r="D3" s="19" t="s">
        <v>88</v>
      </c>
      <c r="E3" s="19" t="s">
        <v>218</v>
      </c>
      <c r="F3" s="19"/>
      <c r="G3" s="19" t="s">
        <v>252</v>
      </c>
      <c r="H3" s="19"/>
      <c r="I3" s="19" t="s">
        <v>260</v>
      </c>
      <c r="J3" s="19"/>
      <c r="K3" s="19" t="s">
        <v>11</v>
      </c>
      <c r="L3" s="19"/>
      <c r="M3" s="19" t="s">
        <v>71</v>
      </c>
      <c r="N3" s="19"/>
      <c r="O3" s="19" t="s">
        <v>16</v>
      </c>
      <c r="P3" s="19"/>
      <c r="Q3" s="19" t="s">
        <v>87</v>
      </c>
      <c r="R3" s="19" t="s">
        <v>208</v>
      </c>
      <c r="S3" s="19" t="s">
        <v>218</v>
      </c>
      <c r="T3" s="19"/>
      <c r="U3" s="19" t="s">
        <v>239</v>
      </c>
      <c r="V3" s="19"/>
      <c r="W3" s="19" t="s">
        <v>40</v>
      </c>
      <c r="X3" s="19"/>
      <c r="Y3" s="19" t="s">
        <v>81</v>
      </c>
      <c r="Z3" s="19"/>
      <c r="AA3" s="19" t="s">
        <v>449</v>
      </c>
      <c r="AB3" s="19"/>
      <c r="AC3" s="19" t="s">
        <v>525</v>
      </c>
      <c r="AD3" s="19"/>
    </row>
    <row r="4" spans="1:30">
      <c r="A4" s="35"/>
      <c r="B4" t="s">
        <v>89</v>
      </c>
      <c r="C4" t="s">
        <v>263</v>
      </c>
      <c r="D4" t="s">
        <v>264</v>
      </c>
      <c r="E4" t="str">
        <f>B4&amp;" | "&amp;D4</f>
        <v>A 01 | Landwirtschaft und Jagd</v>
      </c>
      <c r="F4" s="35"/>
      <c r="G4" t="s">
        <v>413</v>
      </c>
      <c r="H4" s="35"/>
      <c r="I4" t="s">
        <v>47</v>
      </c>
      <c r="J4" s="35"/>
      <c r="K4" t="s">
        <v>2</v>
      </c>
      <c r="L4" s="35"/>
      <c r="M4" t="s">
        <v>49</v>
      </c>
      <c r="N4" s="35"/>
      <c r="O4" t="s">
        <v>17</v>
      </c>
      <c r="P4" s="35"/>
      <c r="Q4" t="s">
        <v>89</v>
      </c>
      <c r="R4" t="s">
        <v>210</v>
      </c>
      <c r="S4" t="str">
        <f>Q4&amp;" | "&amp;R4</f>
        <v>A 01 | Erzeugnisse der Landwirtschaft und Jagd</v>
      </c>
      <c r="T4" s="35"/>
      <c r="U4" t="s">
        <v>237</v>
      </c>
      <c r="V4" s="35"/>
      <c r="W4" t="s">
        <v>29</v>
      </c>
      <c r="X4" s="35"/>
      <c r="Y4" t="s">
        <v>436</v>
      </c>
      <c r="Z4" s="35"/>
      <c r="AA4" t="s">
        <v>488</v>
      </c>
      <c r="AB4" s="35"/>
      <c r="AC4" t="s">
        <v>527</v>
      </c>
      <c r="AD4" s="35"/>
    </row>
    <row r="5" spans="1:30">
      <c r="A5" s="35"/>
      <c r="B5" t="s">
        <v>90</v>
      </c>
      <c r="C5" t="s">
        <v>265</v>
      </c>
      <c r="D5" t="s">
        <v>265</v>
      </c>
      <c r="E5" t="str">
        <f t="shared" ref="E5:E68" si="0">B5&amp;" | "&amp;D5</f>
        <v>A 02 | Forstwirtschaft und Holzeinschlag</v>
      </c>
      <c r="F5" s="35"/>
      <c r="G5" t="s">
        <v>414</v>
      </c>
      <c r="H5" s="35"/>
      <c r="I5" t="s">
        <v>46</v>
      </c>
      <c r="J5" s="35"/>
      <c r="K5" t="s">
        <v>7</v>
      </c>
      <c r="L5" s="35"/>
      <c r="M5" t="s">
        <v>74</v>
      </c>
      <c r="N5" s="35"/>
      <c r="O5" t="s">
        <v>18</v>
      </c>
      <c r="P5" s="35"/>
      <c r="Q5" t="s">
        <v>90</v>
      </c>
      <c r="R5" t="s">
        <v>209</v>
      </c>
      <c r="S5" t="str">
        <f t="shared" ref="S5:S43" si="1">Q5&amp;" | "&amp;R5</f>
        <v>A 02 | Forstwirtschaftliche Erzeugnisse</v>
      </c>
      <c r="T5" s="35"/>
      <c r="U5" t="s">
        <v>236</v>
      </c>
      <c r="V5" s="35"/>
      <c r="W5" t="s">
        <v>30</v>
      </c>
      <c r="X5" s="35"/>
      <c r="Y5" t="s">
        <v>437</v>
      </c>
      <c r="Z5" s="35"/>
      <c r="AA5" t="s">
        <v>450</v>
      </c>
      <c r="AB5" s="35"/>
      <c r="AC5" t="s">
        <v>529</v>
      </c>
      <c r="AD5" s="35"/>
    </row>
    <row r="6" spans="1:30">
      <c r="A6" s="35"/>
      <c r="B6" t="s">
        <v>91</v>
      </c>
      <c r="C6" t="s">
        <v>266</v>
      </c>
      <c r="D6" t="s">
        <v>266</v>
      </c>
      <c r="E6" t="str">
        <f t="shared" si="0"/>
        <v>A 03 | Fischerei und Aquakultur</v>
      </c>
      <c r="F6" s="35"/>
      <c r="G6" t="s">
        <v>415</v>
      </c>
      <c r="H6" s="35"/>
      <c r="I6" t="s">
        <v>262</v>
      </c>
      <c r="J6" s="35"/>
      <c r="K6" t="s">
        <v>8</v>
      </c>
      <c r="L6" s="35"/>
      <c r="M6" t="s">
        <v>50</v>
      </c>
      <c r="N6" s="35"/>
      <c r="O6" t="s">
        <v>19</v>
      </c>
      <c r="P6" s="35"/>
      <c r="Q6" t="s">
        <v>91</v>
      </c>
      <c r="R6" t="s">
        <v>211</v>
      </c>
      <c r="S6" t="str">
        <f t="shared" si="1"/>
        <v>A 03 | Fische und Fischereierzeugnisse; Aquakulturerzeugnisse</v>
      </c>
      <c r="T6" s="35"/>
      <c r="U6" s="35"/>
      <c r="V6" s="35"/>
      <c r="W6" t="s">
        <v>31</v>
      </c>
      <c r="X6" s="35"/>
      <c r="Y6" t="s">
        <v>438</v>
      </c>
      <c r="Z6" s="35"/>
      <c r="AA6" t="s">
        <v>219</v>
      </c>
      <c r="AB6" s="35"/>
      <c r="AC6" t="s">
        <v>528</v>
      </c>
      <c r="AD6" s="35"/>
    </row>
    <row r="7" spans="1:30">
      <c r="A7" s="35"/>
      <c r="B7" t="s">
        <v>92</v>
      </c>
      <c r="C7" t="s">
        <v>267</v>
      </c>
      <c r="D7" t="s">
        <v>267</v>
      </c>
      <c r="E7" t="str">
        <f t="shared" si="0"/>
        <v>B 05 | Kohlenbergbau</v>
      </c>
      <c r="F7" s="35"/>
      <c r="G7" t="s">
        <v>520</v>
      </c>
      <c r="H7" s="35"/>
      <c r="I7" s="35"/>
      <c r="J7" s="35"/>
      <c r="K7" t="s">
        <v>10</v>
      </c>
      <c r="L7" s="35"/>
      <c r="M7" t="s">
        <v>51</v>
      </c>
      <c r="N7" s="35"/>
      <c r="O7" t="s">
        <v>20</v>
      </c>
      <c r="P7" s="35"/>
      <c r="Q7" t="s">
        <v>92</v>
      </c>
      <c r="R7" t="s">
        <v>3</v>
      </c>
      <c r="S7" t="str">
        <f t="shared" si="1"/>
        <v>B 05 | Kohle</v>
      </c>
      <c r="T7" s="35"/>
      <c r="V7" s="35"/>
      <c r="W7" t="s">
        <v>32</v>
      </c>
      <c r="X7" s="35"/>
      <c r="Y7" t="s">
        <v>439</v>
      </c>
      <c r="Z7" s="35"/>
      <c r="AA7" t="s">
        <v>451</v>
      </c>
      <c r="AB7" s="35"/>
      <c r="AC7" t="s">
        <v>530</v>
      </c>
      <c r="AD7" s="35"/>
    </row>
    <row r="8" spans="1:30">
      <c r="A8" s="35"/>
      <c r="B8" t="s">
        <v>93</v>
      </c>
      <c r="C8" t="s">
        <v>268</v>
      </c>
      <c r="D8" t="s">
        <v>269</v>
      </c>
      <c r="E8" t="str">
        <f t="shared" si="0"/>
        <v>B 06 | Gewinnung v. Erdöl- und Erdgas</v>
      </c>
      <c r="F8" s="35"/>
      <c r="G8" t="s">
        <v>453</v>
      </c>
      <c r="H8" s="35"/>
      <c r="J8" s="35"/>
      <c r="K8" t="s">
        <v>3</v>
      </c>
      <c r="L8" s="35"/>
      <c r="M8" t="s">
        <v>52</v>
      </c>
      <c r="N8" s="35"/>
      <c r="O8" t="s">
        <v>21</v>
      </c>
      <c r="P8" s="35"/>
      <c r="Q8" t="s">
        <v>93</v>
      </c>
      <c r="R8" t="s">
        <v>94</v>
      </c>
      <c r="S8" t="str">
        <f t="shared" si="1"/>
        <v>B 06 | Erdöl und Erdgas</v>
      </c>
      <c r="T8" s="35"/>
      <c r="V8" s="35"/>
      <c r="W8" t="s">
        <v>33</v>
      </c>
      <c r="X8" s="35"/>
      <c r="Y8" s="35"/>
      <c r="Z8" s="35"/>
      <c r="AA8" t="s">
        <v>452</v>
      </c>
      <c r="AB8" s="35"/>
      <c r="AC8" t="s">
        <v>526</v>
      </c>
      <c r="AD8" s="35"/>
    </row>
    <row r="9" spans="1:30">
      <c r="A9" s="35"/>
      <c r="B9" t="s">
        <v>95</v>
      </c>
      <c r="C9" t="s">
        <v>270</v>
      </c>
      <c r="D9" t="s">
        <v>270</v>
      </c>
      <c r="E9" t="str">
        <f t="shared" si="0"/>
        <v>B 07 | Erzbergbau</v>
      </c>
      <c r="F9" s="35"/>
      <c r="G9" s="35"/>
      <c r="H9" s="35"/>
      <c r="J9" s="35"/>
      <c r="K9" t="s">
        <v>9</v>
      </c>
      <c r="L9" s="35"/>
      <c r="M9" t="s">
        <v>53</v>
      </c>
      <c r="N9" s="35"/>
      <c r="O9" t="s">
        <v>22</v>
      </c>
      <c r="P9" s="35"/>
      <c r="Q9" t="s">
        <v>95</v>
      </c>
      <c r="R9" t="s">
        <v>96</v>
      </c>
      <c r="S9" t="str">
        <f t="shared" si="1"/>
        <v>B 07 | Erze</v>
      </c>
      <c r="T9" s="35"/>
      <c r="V9" s="35"/>
      <c r="W9" t="s">
        <v>34</v>
      </c>
      <c r="X9" s="35"/>
      <c r="Z9" s="35"/>
      <c r="AA9" t="s">
        <v>453</v>
      </c>
      <c r="AB9" s="35"/>
      <c r="AC9" t="s">
        <v>531</v>
      </c>
      <c r="AD9" s="35"/>
    </row>
    <row r="10" spans="1:30">
      <c r="A10" s="35"/>
      <c r="B10" t="s">
        <v>97</v>
      </c>
      <c r="C10" t="s">
        <v>271</v>
      </c>
      <c r="D10" t="s">
        <v>272</v>
      </c>
      <c r="E10" t="str">
        <f t="shared" si="0"/>
        <v>B 08 | Gewinnung v. Steinen; sonst. Bergbau</v>
      </c>
      <c r="F10" s="35"/>
      <c r="J10" s="35"/>
      <c r="K10" t="s">
        <v>4</v>
      </c>
      <c r="L10" s="35"/>
      <c r="M10" t="s">
        <v>54</v>
      </c>
      <c r="N10" s="35"/>
      <c r="O10" t="s">
        <v>23</v>
      </c>
      <c r="P10" s="35"/>
      <c r="Q10" t="s">
        <v>97</v>
      </c>
      <c r="R10" t="s">
        <v>98</v>
      </c>
      <c r="S10" t="str">
        <f t="shared" si="1"/>
        <v>B 08 | Steine und Erden; sonstige Bergbauerzeugnisse</v>
      </c>
      <c r="T10" s="35"/>
      <c r="V10" s="35"/>
      <c r="W10" t="s">
        <v>35</v>
      </c>
      <c r="X10" s="35"/>
      <c r="Z10" s="35"/>
      <c r="AA10" s="35"/>
      <c r="AB10" s="35"/>
      <c r="AC10" s="35"/>
      <c r="AD10" s="35"/>
    </row>
    <row r="11" spans="1:30">
      <c r="A11" s="35"/>
      <c r="B11" t="s">
        <v>99</v>
      </c>
      <c r="C11" t="s">
        <v>273</v>
      </c>
      <c r="D11" t="s">
        <v>274</v>
      </c>
      <c r="E11" t="str">
        <f t="shared" si="0"/>
        <v>B 09 | Dienstleistungen für den Bergbau</v>
      </c>
      <c r="F11" s="35"/>
      <c r="J11" s="35"/>
      <c r="K11" t="s">
        <v>5</v>
      </c>
      <c r="L11" s="35"/>
      <c r="M11" t="s">
        <v>55</v>
      </c>
      <c r="N11" s="35"/>
      <c r="O11" t="s">
        <v>24</v>
      </c>
      <c r="P11" s="35"/>
      <c r="Q11" t="s">
        <v>99</v>
      </c>
      <c r="R11" t="s">
        <v>100</v>
      </c>
      <c r="S11" t="str">
        <f t="shared" si="1"/>
        <v>B 09 | Dienstleistungen für den Bergbau und für die Gewinnung von Steinen und Erden</v>
      </c>
      <c r="T11" s="35"/>
      <c r="V11" s="35"/>
      <c r="W11" t="s">
        <v>36</v>
      </c>
      <c r="X11" s="35"/>
    </row>
    <row r="12" spans="1:30">
      <c r="A12" s="35"/>
      <c r="B12" t="s">
        <v>101</v>
      </c>
      <c r="C12" t="s">
        <v>275</v>
      </c>
      <c r="D12" t="s">
        <v>276</v>
      </c>
      <c r="E12" t="str">
        <f t="shared" si="0"/>
        <v>C 10 | H.v. Nahrungs- und Futtermitteln</v>
      </c>
      <c r="F12" s="35"/>
      <c r="J12" s="35"/>
      <c r="K12" t="s">
        <v>6</v>
      </c>
      <c r="L12" s="35"/>
      <c r="M12" t="s">
        <v>56</v>
      </c>
      <c r="N12" s="35"/>
      <c r="O12" t="s">
        <v>25</v>
      </c>
      <c r="P12" s="35"/>
      <c r="Q12" t="s">
        <v>101</v>
      </c>
      <c r="R12" t="s">
        <v>102</v>
      </c>
      <c r="S12" t="str">
        <f t="shared" si="1"/>
        <v>C 10 | Nahrungs- und Futtermittel</v>
      </c>
      <c r="T12" s="35"/>
      <c r="V12" s="35"/>
      <c r="W12" t="s">
        <v>37</v>
      </c>
      <c r="X12" s="35"/>
    </row>
    <row r="13" spans="1:30">
      <c r="A13" s="35"/>
      <c r="B13" t="s">
        <v>103</v>
      </c>
      <c r="C13" t="s">
        <v>277</v>
      </c>
      <c r="D13" t="s">
        <v>277</v>
      </c>
      <c r="E13" t="str">
        <f t="shared" si="0"/>
        <v>C 11 | Getränkeherstellung</v>
      </c>
      <c r="F13" s="35"/>
      <c r="J13" s="35"/>
      <c r="K13" s="35"/>
      <c r="L13" s="35"/>
      <c r="M13" t="s">
        <v>57</v>
      </c>
      <c r="N13" s="35"/>
      <c r="O13" t="s">
        <v>26</v>
      </c>
      <c r="P13" s="35"/>
      <c r="Q13" t="s">
        <v>103</v>
      </c>
      <c r="R13" t="s">
        <v>104</v>
      </c>
      <c r="S13" t="str">
        <f t="shared" si="1"/>
        <v>C 11 | Getränke</v>
      </c>
      <c r="T13" s="35"/>
      <c r="V13" s="35"/>
      <c r="W13" t="s">
        <v>38</v>
      </c>
      <c r="X13" s="35"/>
    </row>
    <row r="14" spans="1:30">
      <c r="A14" s="35"/>
      <c r="B14" t="s">
        <v>105</v>
      </c>
      <c r="C14" t="s">
        <v>278</v>
      </c>
      <c r="D14" t="s">
        <v>278</v>
      </c>
      <c r="E14" t="str">
        <f t="shared" si="0"/>
        <v>C 12 | Tabakverarbeitung</v>
      </c>
      <c r="F14" s="35"/>
      <c r="L14" s="35"/>
      <c r="M14" t="s">
        <v>58</v>
      </c>
      <c r="N14" s="35"/>
      <c r="O14" t="s">
        <v>28</v>
      </c>
      <c r="P14" s="35"/>
      <c r="Q14" t="s">
        <v>105</v>
      </c>
      <c r="R14" t="s">
        <v>106</v>
      </c>
      <c r="S14" t="str">
        <f t="shared" si="1"/>
        <v>C 12 | Tabakerzeugnisse</v>
      </c>
      <c r="T14" s="35"/>
      <c r="V14" s="35"/>
      <c r="W14" t="s">
        <v>39</v>
      </c>
      <c r="X14" s="35"/>
    </row>
    <row r="15" spans="1:30">
      <c r="A15" s="35"/>
      <c r="B15" t="s">
        <v>107</v>
      </c>
      <c r="C15" t="s">
        <v>279</v>
      </c>
      <c r="D15" t="s">
        <v>280</v>
      </c>
      <c r="E15" t="str">
        <f t="shared" si="0"/>
        <v>C 13 | H.v. Textilien</v>
      </c>
      <c r="F15" s="35"/>
      <c r="L15" s="35"/>
      <c r="M15" t="s">
        <v>59</v>
      </c>
      <c r="N15" s="35"/>
      <c r="O15" t="s">
        <v>27</v>
      </c>
      <c r="P15" s="35"/>
      <c r="Q15" t="s">
        <v>107</v>
      </c>
      <c r="R15" t="s">
        <v>108</v>
      </c>
      <c r="S15" t="str">
        <f t="shared" si="1"/>
        <v>C 13 | Textilien</v>
      </c>
      <c r="T15" s="35"/>
      <c r="V15" s="35"/>
      <c r="W15" s="35"/>
      <c r="X15" s="35"/>
    </row>
    <row r="16" spans="1:30">
      <c r="A16" s="35"/>
      <c r="B16" t="s">
        <v>109</v>
      </c>
      <c r="C16" t="s">
        <v>281</v>
      </c>
      <c r="D16" t="s">
        <v>282</v>
      </c>
      <c r="E16" t="str">
        <f t="shared" si="0"/>
        <v>C 14 | H.v. Bekleidung</v>
      </c>
      <c r="F16" s="35"/>
      <c r="L16" s="35"/>
      <c r="M16" t="s">
        <v>60</v>
      </c>
      <c r="N16" s="35"/>
      <c r="O16" s="35"/>
      <c r="P16" s="35"/>
      <c r="Q16" t="s">
        <v>109</v>
      </c>
      <c r="R16" t="s">
        <v>110</v>
      </c>
      <c r="S16" t="str">
        <f t="shared" si="1"/>
        <v>C 14 | Bekleidung</v>
      </c>
      <c r="T16" s="35"/>
    </row>
    <row r="17" spans="1:20">
      <c r="A17" s="35"/>
      <c r="B17" t="s">
        <v>111</v>
      </c>
      <c r="C17" t="s">
        <v>283</v>
      </c>
      <c r="D17" t="s">
        <v>284</v>
      </c>
      <c r="E17" t="str">
        <f t="shared" si="0"/>
        <v>C 15 | H v. Leder/-waren und Schuhen</v>
      </c>
      <c r="F17" s="35"/>
      <c r="L17" s="35"/>
      <c r="M17" t="s">
        <v>671</v>
      </c>
      <c r="N17" s="35"/>
      <c r="P17" s="35"/>
      <c r="Q17" t="s">
        <v>111</v>
      </c>
      <c r="R17" t="s">
        <v>112</v>
      </c>
      <c r="S17" t="str">
        <f t="shared" si="1"/>
        <v>C 15 | Leder und Lederwaren</v>
      </c>
      <c r="T17" s="35"/>
    </row>
    <row r="18" spans="1:20">
      <c r="A18" s="35"/>
      <c r="B18" t="s">
        <v>113</v>
      </c>
      <c r="C18" t="s">
        <v>285</v>
      </c>
      <c r="D18" t="s">
        <v>286</v>
      </c>
      <c r="E18" t="str">
        <f t="shared" si="0"/>
        <v>C 16 | H.v. Holzwaren; Korbwaren</v>
      </c>
      <c r="F18" s="35"/>
      <c r="L18" s="35"/>
      <c r="M18" t="s">
        <v>62</v>
      </c>
      <c r="N18" s="35"/>
      <c r="P18" s="35"/>
      <c r="Q18" t="s">
        <v>113</v>
      </c>
      <c r="R18" t="s">
        <v>114</v>
      </c>
      <c r="S18" t="str">
        <f t="shared" si="1"/>
        <v>C 16 | Holz sowie Holz- und Korkwaren (ohne Möbel); Flecht- und Korbwaren</v>
      </c>
      <c r="T18" s="35"/>
    </row>
    <row r="19" spans="1:20">
      <c r="A19" s="35"/>
      <c r="B19" t="s">
        <v>115</v>
      </c>
      <c r="C19" t="s">
        <v>287</v>
      </c>
      <c r="D19" t="s">
        <v>288</v>
      </c>
      <c r="E19" t="str">
        <f t="shared" si="0"/>
        <v>C 17 | H.v. Papier/Pappe und Waren daraus</v>
      </c>
      <c r="F19" s="35"/>
      <c r="L19" s="35"/>
      <c r="M19" t="s">
        <v>63</v>
      </c>
      <c r="N19" s="35"/>
      <c r="P19" s="35"/>
      <c r="Q19" t="s">
        <v>115</v>
      </c>
      <c r="R19" t="s">
        <v>116</v>
      </c>
      <c r="S19" t="str">
        <f t="shared" si="1"/>
        <v>C 17 | Papier, Pappe und Waren daraus</v>
      </c>
      <c r="T19" s="35"/>
    </row>
    <row r="20" spans="1:20">
      <c r="A20" s="35"/>
      <c r="B20" t="s">
        <v>117</v>
      </c>
      <c r="C20" t="s">
        <v>289</v>
      </c>
      <c r="D20" t="s">
        <v>290</v>
      </c>
      <c r="E20" t="str">
        <f t="shared" si="0"/>
        <v>C 18 | H.v. Druckerzeugnissen</v>
      </c>
      <c r="F20" s="35"/>
      <c r="L20" s="35"/>
      <c r="M20" t="s">
        <v>64</v>
      </c>
      <c r="N20" s="35"/>
      <c r="P20" s="35"/>
      <c r="Q20" t="s">
        <v>117</v>
      </c>
      <c r="R20" t="s">
        <v>217</v>
      </c>
      <c r="S20" t="str">
        <f t="shared" si="1"/>
        <v>C 18 | Druckerei und Vervielfältigung von bespielten Ton-, Bild- und Datenträger</v>
      </c>
      <c r="T20" s="35"/>
    </row>
    <row r="21" spans="1:20">
      <c r="A21" s="35"/>
      <c r="B21" t="s">
        <v>118</v>
      </c>
      <c r="C21" t="s">
        <v>291</v>
      </c>
      <c r="D21" t="s">
        <v>291</v>
      </c>
      <c r="E21" t="str">
        <f t="shared" si="0"/>
        <v>C 19 | Kokerei und Mineralölverarbeitung</v>
      </c>
      <c r="F21" s="35"/>
      <c r="L21" s="35"/>
      <c r="M21" t="s">
        <v>65</v>
      </c>
      <c r="N21" s="35"/>
      <c r="P21" s="35"/>
      <c r="Q21" t="s">
        <v>118</v>
      </c>
      <c r="R21" t="s">
        <v>119</v>
      </c>
      <c r="S21" t="str">
        <f t="shared" si="1"/>
        <v>C 19 | Kokereierzeugnisse und Mineralölerzeugnisse</v>
      </c>
      <c r="T21" s="35"/>
    </row>
    <row r="22" spans="1:20">
      <c r="A22" s="35"/>
      <c r="B22" t="s">
        <v>120</v>
      </c>
      <c r="C22" t="s">
        <v>292</v>
      </c>
      <c r="D22" t="s">
        <v>293</v>
      </c>
      <c r="E22" t="str">
        <f t="shared" si="0"/>
        <v>C 20 | H.v. chemischen Erzeugnissen</v>
      </c>
      <c r="F22" s="35"/>
      <c r="L22" s="35"/>
      <c r="M22" t="s">
        <v>66</v>
      </c>
      <c r="N22" s="35"/>
      <c r="P22" s="35"/>
      <c r="Q22" t="s">
        <v>120</v>
      </c>
      <c r="R22" t="s">
        <v>121</v>
      </c>
      <c r="S22" t="str">
        <f t="shared" si="1"/>
        <v>C 20 | Chemische Erzeugnisse</v>
      </c>
      <c r="T22" s="35"/>
    </row>
    <row r="23" spans="1:20">
      <c r="A23" s="35"/>
      <c r="B23" t="s">
        <v>122</v>
      </c>
      <c r="C23" t="s">
        <v>294</v>
      </c>
      <c r="D23" t="s">
        <v>295</v>
      </c>
      <c r="E23" t="str">
        <f t="shared" si="0"/>
        <v>C 21 | H.v. pharmazeutischen Erzeugnissen</v>
      </c>
      <c r="F23" s="35"/>
      <c r="L23" s="35"/>
      <c r="M23" t="s">
        <v>67</v>
      </c>
      <c r="N23" s="35"/>
      <c r="P23" s="35"/>
      <c r="Q23" t="s">
        <v>122</v>
      </c>
      <c r="R23" t="s">
        <v>123</v>
      </c>
      <c r="S23" t="str">
        <f t="shared" si="1"/>
        <v>C 21 | Pharmazeutische Erzeugnisse</v>
      </c>
      <c r="T23" s="35"/>
    </row>
    <row r="24" spans="1:20">
      <c r="A24" s="35"/>
      <c r="B24" t="s">
        <v>124</v>
      </c>
      <c r="C24" t="s">
        <v>296</v>
      </c>
      <c r="D24" t="s">
        <v>297</v>
      </c>
      <c r="E24" t="str">
        <f t="shared" si="0"/>
        <v>C 22 | H.v. Gummi- und Kunststoffwaren</v>
      </c>
      <c r="F24" s="35"/>
      <c r="L24" s="35"/>
      <c r="M24" t="s">
        <v>68</v>
      </c>
      <c r="N24" s="35"/>
      <c r="P24" s="35"/>
      <c r="Q24" t="s">
        <v>124</v>
      </c>
      <c r="R24" t="s">
        <v>125</v>
      </c>
      <c r="S24" t="str">
        <f t="shared" si="1"/>
        <v>C 22 | Gummi- und Kunststoffwaren</v>
      </c>
      <c r="T24" s="35"/>
    </row>
    <row r="25" spans="1:20">
      <c r="A25" s="35"/>
      <c r="B25" t="s">
        <v>126</v>
      </c>
      <c r="C25" t="s">
        <v>298</v>
      </c>
      <c r="D25" t="s">
        <v>299</v>
      </c>
      <c r="E25" t="str">
        <f t="shared" si="0"/>
        <v>C 23 | H.v. Glas/-waren, Keramik u.Ä.</v>
      </c>
      <c r="F25" s="35"/>
      <c r="L25" s="35"/>
      <c r="M25" t="s">
        <v>69</v>
      </c>
      <c r="N25" s="35"/>
      <c r="P25" s="35"/>
      <c r="Q25" t="s">
        <v>126</v>
      </c>
      <c r="R25" t="s">
        <v>127</v>
      </c>
      <c r="S25" t="str">
        <f t="shared" si="1"/>
        <v>C 23 | Glas- und Glaswaren, Keramik, verarbeitete Steine und Erden</v>
      </c>
      <c r="T25" s="35"/>
    </row>
    <row r="26" spans="1:20">
      <c r="A26" s="35"/>
      <c r="B26" t="s">
        <v>128</v>
      </c>
      <c r="C26" t="s">
        <v>300</v>
      </c>
      <c r="D26" t="s">
        <v>300</v>
      </c>
      <c r="E26" t="str">
        <f t="shared" si="0"/>
        <v>C 24 | Metallerzeugung und -bearbeitung</v>
      </c>
      <c r="F26" s="35"/>
      <c r="L26" s="35"/>
      <c r="M26" t="s">
        <v>70</v>
      </c>
      <c r="N26" s="35"/>
      <c r="P26" s="35"/>
      <c r="Q26" t="s">
        <v>128</v>
      </c>
      <c r="R26" t="s">
        <v>129</v>
      </c>
      <c r="S26" t="str">
        <f t="shared" si="1"/>
        <v>C 24 | Metalle</v>
      </c>
      <c r="T26" s="35"/>
    </row>
    <row r="27" spans="1:20">
      <c r="A27" s="35"/>
      <c r="B27" t="s">
        <v>130</v>
      </c>
      <c r="C27" t="s">
        <v>301</v>
      </c>
      <c r="D27" t="s">
        <v>302</v>
      </c>
      <c r="E27" t="str">
        <f t="shared" si="0"/>
        <v>C 25 | H.v. Metallerzeugnissen</v>
      </c>
      <c r="F27" s="35"/>
      <c r="L27" s="35"/>
      <c r="M27" s="35"/>
      <c r="N27" s="35"/>
      <c r="P27" s="35"/>
      <c r="Q27" t="s">
        <v>130</v>
      </c>
      <c r="R27" t="s">
        <v>131</v>
      </c>
      <c r="S27" t="str">
        <f t="shared" si="1"/>
        <v>C 25 | Metallerzeugnisse</v>
      </c>
      <c r="T27" s="35"/>
    </row>
    <row r="28" spans="1:20">
      <c r="A28" s="35"/>
      <c r="B28" t="s">
        <v>132</v>
      </c>
      <c r="C28" t="s">
        <v>303</v>
      </c>
      <c r="D28" t="s">
        <v>304</v>
      </c>
      <c r="E28" t="str">
        <f t="shared" si="0"/>
        <v>C 26 | H.v. Datenverarbeitungsgeräten</v>
      </c>
      <c r="F28" s="35"/>
      <c r="P28" s="35"/>
      <c r="Q28" t="s">
        <v>132</v>
      </c>
      <c r="R28" t="s">
        <v>133</v>
      </c>
      <c r="S28" t="str">
        <f t="shared" si="1"/>
        <v>C 26 | Datenverarbeitungsgeräte, elektronische und optische Erzeugnisse</v>
      </c>
      <c r="T28" s="35"/>
    </row>
    <row r="29" spans="1:20">
      <c r="A29" s="35"/>
      <c r="B29" t="s">
        <v>134</v>
      </c>
      <c r="C29" t="s">
        <v>305</v>
      </c>
      <c r="D29" t="s">
        <v>306</v>
      </c>
      <c r="E29" t="str">
        <f t="shared" si="0"/>
        <v>C 27 | H.v. elektrischen Ausrüstungen</v>
      </c>
      <c r="F29" s="35"/>
      <c r="P29" s="35"/>
      <c r="Q29" t="s">
        <v>134</v>
      </c>
      <c r="R29" t="s">
        <v>135</v>
      </c>
      <c r="S29" t="str">
        <f t="shared" si="1"/>
        <v>C 27 | Elektrische Ausrüstungen</v>
      </c>
      <c r="T29" s="35"/>
    </row>
    <row r="30" spans="1:20">
      <c r="A30" s="35"/>
      <c r="B30" t="s">
        <v>136</v>
      </c>
      <c r="C30" t="s">
        <v>307</v>
      </c>
      <c r="D30" t="s">
        <v>307</v>
      </c>
      <c r="E30" t="str">
        <f t="shared" si="0"/>
        <v>C 28 | Maschinenbau</v>
      </c>
      <c r="F30" s="35"/>
      <c r="P30" s="35"/>
      <c r="Q30" t="s">
        <v>136</v>
      </c>
      <c r="R30" t="s">
        <v>137</v>
      </c>
      <c r="S30" t="str">
        <f t="shared" si="1"/>
        <v>C 28 | Maschinen</v>
      </c>
      <c r="T30" s="35"/>
    </row>
    <row r="31" spans="1:20">
      <c r="A31" s="35"/>
      <c r="B31" t="s">
        <v>138</v>
      </c>
      <c r="C31" t="s">
        <v>308</v>
      </c>
      <c r="D31" t="s">
        <v>309</v>
      </c>
      <c r="E31" t="str">
        <f t="shared" si="0"/>
        <v>C 29 | H.v. Kraftwagen und -teilen</v>
      </c>
      <c r="F31" s="35"/>
      <c r="P31" s="35"/>
      <c r="Q31" t="s">
        <v>138</v>
      </c>
      <c r="R31" t="s">
        <v>139</v>
      </c>
      <c r="S31" t="str">
        <f t="shared" si="1"/>
        <v>C 29 | Kraftwagen und Kraftwagenteile</v>
      </c>
      <c r="T31" s="35"/>
    </row>
    <row r="32" spans="1:20">
      <c r="A32" s="35"/>
      <c r="B32" t="s">
        <v>140</v>
      </c>
      <c r="C32" t="s">
        <v>310</v>
      </c>
      <c r="D32" t="s">
        <v>311</v>
      </c>
      <c r="E32" t="str">
        <f t="shared" si="0"/>
        <v>C 30 | Sonst. Fahrzeugbau</v>
      </c>
      <c r="F32" s="35"/>
      <c r="P32" s="35"/>
      <c r="Q32" t="s">
        <v>140</v>
      </c>
      <c r="R32" t="s">
        <v>141</v>
      </c>
      <c r="S32" t="str">
        <f t="shared" si="1"/>
        <v>C 30 | Sonstige Fahrzeuge</v>
      </c>
      <c r="T32" s="35"/>
    </row>
    <row r="33" spans="1:20">
      <c r="A33" s="35"/>
      <c r="B33" t="s">
        <v>142</v>
      </c>
      <c r="C33" t="s">
        <v>312</v>
      </c>
      <c r="D33" t="s">
        <v>313</v>
      </c>
      <c r="E33" t="str">
        <f t="shared" si="0"/>
        <v>C 31 | H.v. Möbeln</v>
      </c>
      <c r="F33" s="35"/>
      <c r="P33" s="35"/>
      <c r="Q33" t="s">
        <v>142</v>
      </c>
      <c r="R33" t="s">
        <v>143</v>
      </c>
      <c r="S33" t="str">
        <f t="shared" si="1"/>
        <v>C 31 | Möbel</v>
      </c>
      <c r="T33" s="35"/>
    </row>
    <row r="34" spans="1:20">
      <c r="A34" s="35"/>
      <c r="B34" t="s">
        <v>144</v>
      </c>
      <c r="C34" t="s">
        <v>314</v>
      </c>
      <c r="D34" t="s">
        <v>315</v>
      </c>
      <c r="E34" t="str">
        <f t="shared" si="0"/>
        <v>C 32 | H.v. sonst. Waren</v>
      </c>
      <c r="F34" s="35"/>
      <c r="P34" s="35"/>
      <c r="Q34" t="s">
        <v>144</v>
      </c>
      <c r="R34" t="s">
        <v>145</v>
      </c>
      <c r="S34" t="str">
        <f t="shared" si="1"/>
        <v>C 32 | Waren a.n.g.</v>
      </c>
      <c r="T34" s="35"/>
    </row>
    <row r="35" spans="1:20">
      <c r="A35" s="35"/>
      <c r="B35" t="s">
        <v>146</v>
      </c>
      <c r="C35" t="s">
        <v>316</v>
      </c>
      <c r="D35" t="s">
        <v>317</v>
      </c>
      <c r="E35" t="str">
        <f t="shared" si="0"/>
        <v>C 33 | Reparatur/Installation v. Maschinen</v>
      </c>
      <c r="F35" s="35"/>
      <c r="P35" s="35"/>
      <c r="Q35" t="s">
        <v>146</v>
      </c>
      <c r="R35" t="s">
        <v>147</v>
      </c>
      <c r="S35" t="str">
        <f t="shared" si="1"/>
        <v>C 33 | Reparatur- und Installationsarbeiten an Maschinen und Ausrüstungen</v>
      </c>
      <c r="T35" s="35"/>
    </row>
    <row r="36" spans="1:20">
      <c r="A36" s="35"/>
      <c r="B36" t="s">
        <v>148</v>
      </c>
      <c r="C36" t="s">
        <v>212</v>
      </c>
      <c r="D36" t="s">
        <v>212</v>
      </c>
      <c r="E36" t="str">
        <f t="shared" si="0"/>
        <v>D 35 | Energieversorgung</v>
      </c>
      <c r="F36" s="35"/>
      <c r="P36" s="35"/>
      <c r="Q36" t="s">
        <v>148</v>
      </c>
      <c r="R36" t="s">
        <v>212</v>
      </c>
      <c r="S36" t="str">
        <f t="shared" si="1"/>
        <v>D 35 | Energieversorgung</v>
      </c>
      <c r="T36" s="35"/>
    </row>
    <row r="37" spans="1:20">
      <c r="A37" s="35"/>
      <c r="B37" t="s">
        <v>149</v>
      </c>
      <c r="C37" t="s">
        <v>213</v>
      </c>
      <c r="D37" t="s">
        <v>213</v>
      </c>
      <c r="E37" t="str">
        <f t="shared" si="0"/>
        <v>E 36 | Wasserversorgung</v>
      </c>
      <c r="F37" s="35"/>
      <c r="P37" s="35"/>
      <c r="Q37" t="s">
        <v>149</v>
      </c>
      <c r="R37" t="s">
        <v>213</v>
      </c>
      <c r="S37" t="str">
        <f t="shared" si="1"/>
        <v>E 36 | Wasserversorgung</v>
      </c>
      <c r="T37" s="35"/>
    </row>
    <row r="38" spans="1:20">
      <c r="A38" s="35"/>
      <c r="B38" t="s">
        <v>150</v>
      </c>
      <c r="C38" t="s">
        <v>214</v>
      </c>
      <c r="D38" t="s">
        <v>214</v>
      </c>
      <c r="E38" t="str">
        <f t="shared" si="0"/>
        <v>E 37 | Abwasserentsorgung</v>
      </c>
      <c r="F38" s="35"/>
      <c r="P38" s="35"/>
      <c r="Q38" t="s">
        <v>150</v>
      </c>
      <c r="R38" t="s">
        <v>214</v>
      </c>
      <c r="S38" t="str">
        <f t="shared" si="1"/>
        <v>E 37 | Abwasserentsorgung</v>
      </c>
      <c r="T38" s="35"/>
    </row>
    <row r="39" spans="1:20">
      <c r="A39" s="35"/>
      <c r="B39" t="s">
        <v>151</v>
      </c>
      <c r="C39" t="s">
        <v>318</v>
      </c>
      <c r="D39" t="s">
        <v>319</v>
      </c>
      <c r="E39" t="str">
        <f t="shared" si="0"/>
        <v>E 38 | Abfallbehandlung</v>
      </c>
      <c r="F39" s="35"/>
      <c r="P39" s="35"/>
      <c r="Q39" t="s">
        <v>151</v>
      </c>
      <c r="R39" t="s">
        <v>215</v>
      </c>
      <c r="S39" t="str">
        <f t="shared" si="1"/>
        <v>E 38 | Behandlung und Beseitigung von Abfällen sowie zur Rückgewinnung von Wertstoffen</v>
      </c>
      <c r="T39" s="35"/>
    </row>
    <row r="40" spans="1:20">
      <c r="A40" s="35"/>
      <c r="B40" t="s">
        <v>152</v>
      </c>
      <c r="C40" t="s">
        <v>320</v>
      </c>
      <c r="D40" t="s">
        <v>321</v>
      </c>
      <c r="E40" t="str">
        <f t="shared" si="0"/>
        <v>E 39 | Beseitigung v. Umweltverschmutzungen</v>
      </c>
      <c r="F40" s="35"/>
      <c r="P40" s="35"/>
      <c r="Q40" t="s">
        <v>152</v>
      </c>
      <c r="R40" t="s">
        <v>216</v>
      </c>
      <c r="S40" t="str">
        <f t="shared" si="1"/>
        <v>E 39 | Sonstige Entsorgung</v>
      </c>
      <c r="T40" s="35"/>
    </row>
    <row r="41" spans="1:20">
      <c r="A41" s="35"/>
      <c r="B41" t="s">
        <v>153</v>
      </c>
      <c r="C41" t="s">
        <v>322</v>
      </c>
      <c r="D41" t="s">
        <v>322</v>
      </c>
      <c r="E41" t="str">
        <f t="shared" si="0"/>
        <v>F 41 | Hochbau</v>
      </c>
      <c r="F41" s="35"/>
      <c r="P41" s="35"/>
      <c r="Q41" t="s">
        <v>153</v>
      </c>
      <c r="R41" t="s">
        <v>154</v>
      </c>
      <c r="S41" t="str">
        <f t="shared" si="1"/>
        <v>F 41 | Gebäude und Hochbauarbeiten</v>
      </c>
      <c r="T41" s="35"/>
    </row>
    <row r="42" spans="1:20">
      <c r="A42" s="35"/>
      <c r="B42" t="s">
        <v>155</v>
      </c>
      <c r="C42" t="s">
        <v>323</v>
      </c>
      <c r="D42" t="s">
        <v>323</v>
      </c>
      <c r="E42" t="str">
        <f t="shared" si="0"/>
        <v>F 42 | Tiefbau</v>
      </c>
      <c r="F42" s="35"/>
      <c r="P42" s="35"/>
      <c r="Q42" t="s">
        <v>155</v>
      </c>
      <c r="R42" t="s">
        <v>156</v>
      </c>
      <c r="S42" t="str">
        <f t="shared" si="1"/>
        <v>F 42 | Tiefbauten und Tiefbauarbeiten</v>
      </c>
      <c r="T42" s="35"/>
    </row>
    <row r="43" spans="1:20">
      <c r="A43" s="35"/>
      <c r="B43" t="s">
        <v>157</v>
      </c>
      <c r="C43" t="s">
        <v>324</v>
      </c>
      <c r="D43" t="s">
        <v>325</v>
      </c>
      <c r="E43" t="str">
        <f t="shared" si="0"/>
        <v>F 43 | Sonst. Bautätigkeiten</v>
      </c>
      <c r="F43" s="35"/>
      <c r="P43" s="35"/>
      <c r="Q43" t="s">
        <v>157</v>
      </c>
      <c r="R43" t="s">
        <v>158</v>
      </c>
      <c r="S43" t="str">
        <f t="shared" si="1"/>
        <v>F 43 | Vorbereitende Baustellenarbeiten, Bauinstallationsarbeiten und sonstige Ausbauarbeiten</v>
      </c>
      <c r="T43" s="35"/>
    </row>
    <row r="44" spans="1:20">
      <c r="A44" s="35"/>
      <c r="B44" t="s">
        <v>159</v>
      </c>
      <c r="C44" t="s">
        <v>326</v>
      </c>
      <c r="D44" t="s">
        <v>327</v>
      </c>
      <c r="E44" t="str">
        <f t="shared" si="0"/>
        <v>G 45 | Kfz-Handel und -reparatur</v>
      </c>
      <c r="F44" s="35"/>
      <c r="P44" s="35"/>
      <c r="Q44" s="35"/>
      <c r="R44" s="35"/>
      <c r="S44" s="35"/>
      <c r="T44" s="35"/>
    </row>
    <row r="45" spans="1:20">
      <c r="A45" s="35"/>
      <c r="B45" t="s">
        <v>160</v>
      </c>
      <c r="C45" t="s">
        <v>328</v>
      </c>
      <c r="D45" t="s">
        <v>329</v>
      </c>
      <c r="E45" t="str">
        <f t="shared" si="0"/>
        <v>G 46 | Großhandel</v>
      </c>
      <c r="F45" s="35"/>
    </row>
    <row r="46" spans="1:20">
      <c r="A46" s="35"/>
      <c r="B46" t="s">
        <v>161</v>
      </c>
      <c r="C46" t="s">
        <v>330</v>
      </c>
      <c r="D46" t="s">
        <v>331</v>
      </c>
      <c r="E46" t="str">
        <f t="shared" si="0"/>
        <v>G 47 | Einzelhandel</v>
      </c>
      <c r="F46" s="35"/>
    </row>
    <row r="47" spans="1:20">
      <c r="A47" s="35"/>
      <c r="B47" t="s">
        <v>162</v>
      </c>
      <c r="C47" t="s">
        <v>332</v>
      </c>
      <c r="D47" t="s">
        <v>333</v>
      </c>
      <c r="E47" t="str">
        <f t="shared" si="0"/>
        <v>H 49 | Landverkehr</v>
      </c>
      <c r="F47" s="35"/>
    </row>
    <row r="48" spans="1:20">
      <c r="A48" s="35"/>
      <c r="B48" t="s">
        <v>163</v>
      </c>
      <c r="C48" t="s">
        <v>334</v>
      </c>
      <c r="D48" t="s">
        <v>334</v>
      </c>
      <c r="E48" t="str">
        <f t="shared" si="0"/>
        <v>H 50 | Schifffahrt</v>
      </c>
      <c r="F48" s="35"/>
    </row>
    <row r="49" spans="1:6">
      <c r="A49" s="35"/>
      <c r="B49" t="s">
        <v>164</v>
      </c>
      <c r="C49" t="s">
        <v>335</v>
      </c>
      <c r="D49" t="s">
        <v>335</v>
      </c>
      <c r="E49" t="str">
        <f t="shared" si="0"/>
        <v>H 51 | Luftfahrt</v>
      </c>
      <c r="F49" s="35"/>
    </row>
    <row r="50" spans="1:6">
      <c r="A50" s="35"/>
      <c r="B50" t="s">
        <v>165</v>
      </c>
      <c r="C50" t="s">
        <v>336</v>
      </c>
      <c r="D50" t="s">
        <v>337</v>
      </c>
      <c r="E50" t="str">
        <f t="shared" si="0"/>
        <v>H 52 | Dienstleistungen für den Verkehr</v>
      </c>
      <c r="F50" s="35"/>
    </row>
    <row r="51" spans="1:6">
      <c r="A51" s="35"/>
      <c r="B51" t="s">
        <v>166</v>
      </c>
      <c r="C51" t="s">
        <v>338</v>
      </c>
      <c r="D51" t="s">
        <v>339</v>
      </c>
      <c r="E51" t="str">
        <f t="shared" si="0"/>
        <v>H 53 | Post- und Kurierdienste</v>
      </c>
      <c r="F51" s="35"/>
    </row>
    <row r="52" spans="1:6">
      <c r="A52" s="35"/>
      <c r="B52" t="s">
        <v>167</v>
      </c>
      <c r="C52" t="s">
        <v>340</v>
      </c>
      <c r="D52" t="s">
        <v>340</v>
      </c>
      <c r="E52" t="str">
        <f t="shared" si="0"/>
        <v>I 55 | Beherbergung</v>
      </c>
      <c r="F52" s="35"/>
    </row>
    <row r="53" spans="1:6">
      <c r="A53" s="35"/>
      <c r="B53" t="s">
        <v>168</v>
      </c>
      <c r="C53" t="s">
        <v>341</v>
      </c>
      <c r="D53" t="s">
        <v>341</v>
      </c>
      <c r="E53" t="str">
        <f t="shared" si="0"/>
        <v>I 56 | Gastronomie</v>
      </c>
      <c r="F53" s="35"/>
    </row>
    <row r="54" spans="1:6">
      <c r="A54" s="35"/>
      <c r="B54" t="s">
        <v>169</v>
      </c>
      <c r="C54" t="s">
        <v>342</v>
      </c>
      <c r="D54" t="s">
        <v>342</v>
      </c>
      <c r="E54" t="str">
        <f t="shared" si="0"/>
        <v>J 58 | Verlagswesen</v>
      </c>
      <c r="F54" s="35"/>
    </row>
    <row r="55" spans="1:6">
      <c r="A55" s="35"/>
      <c r="B55" t="s">
        <v>170</v>
      </c>
      <c r="C55" t="s">
        <v>343</v>
      </c>
      <c r="D55" t="s">
        <v>344</v>
      </c>
      <c r="E55" t="str">
        <f t="shared" si="0"/>
        <v>J 59 | Filmherstellung/-verleih; Kinos</v>
      </c>
      <c r="F55" s="35"/>
    </row>
    <row r="56" spans="1:6">
      <c r="A56" s="35"/>
      <c r="B56" t="s">
        <v>171</v>
      </c>
      <c r="C56" t="s">
        <v>345</v>
      </c>
      <c r="D56" t="s">
        <v>345</v>
      </c>
      <c r="E56" t="str">
        <f t="shared" si="0"/>
        <v>J 60 | Rundfunkveranstalter</v>
      </c>
      <c r="F56" s="35"/>
    </row>
    <row r="57" spans="1:6">
      <c r="A57" s="35"/>
      <c r="B57" t="s">
        <v>172</v>
      </c>
      <c r="C57" t="s">
        <v>346</v>
      </c>
      <c r="D57" t="s">
        <v>346</v>
      </c>
      <c r="E57" t="str">
        <f t="shared" si="0"/>
        <v>J 61 | Telekommunikation</v>
      </c>
      <c r="F57" s="35"/>
    </row>
    <row r="58" spans="1:6">
      <c r="A58" s="35"/>
      <c r="B58" t="s">
        <v>173</v>
      </c>
      <c r="C58" t="s">
        <v>347</v>
      </c>
      <c r="D58" t="s">
        <v>348</v>
      </c>
      <c r="E58" t="str">
        <f t="shared" si="0"/>
        <v>J 62 | IT-Dienstleistungen</v>
      </c>
      <c r="F58" s="35"/>
    </row>
    <row r="59" spans="1:6">
      <c r="A59" s="35"/>
      <c r="B59" t="s">
        <v>174</v>
      </c>
      <c r="C59" t="s">
        <v>175</v>
      </c>
      <c r="D59" t="s">
        <v>175</v>
      </c>
      <c r="E59" t="str">
        <f t="shared" si="0"/>
        <v>J 63 | Informationsdienstleistungen</v>
      </c>
      <c r="F59" s="35"/>
    </row>
    <row r="60" spans="1:6">
      <c r="A60" s="35"/>
      <c r="B60" t="s">
        <v>176</v>
      </c>
      <c r="C60" t="s">
        <v>349</v>
      </c>
      <c r="D60" t="s">
        <v>350</v>
      </c>
      <c r="E60" t="str">
        <f t="shared" si="0"/>
        <v>K 64 | Finanzdienstleistungen</v>
      </c>
      <c r="F60" s="35"/>
    </row>
    <row r="61" spans="1:6">
      <c r="A61" s="35"/>
      <c r="B61" t="s">
        <v>177</v>
      </c>
      <c r="C61" t="s">
        <v>351</v>
      </c>
      <c r="D61" t="s">
        <v>352</v>
      </c>
      <c r="E61" t="str">
        <f t="shared" si="0"/>
        <v>K 65 | Versicherungen und Pensionskassen</v>
      </c>
      <c r="F61" s="35"/>
    </row>
    <row r="62" spans="1:6">
      <c r="A62" s="35"/>
      <c r="B62" t="s">
        <v>178</v>
      </c>
      <c r="C62" t="s">
        <v>353</v>
      </c>
      <c r="D62" t="s">
        <v>354</v>
      </c>
      <c r="E62" t="str">
        <f t="shared" si="0"/>
        <v>K 66 | Sonst. Finanz-/Versicherungsleistungen</v>
      </c>
      <c r="F62" s="35"/>
    </row>
    <row r="63" spans="1:6">
      <c r="A63" s="35"/>
      <c r="B63" t="s">
        <v>179</v>
      </c>
      <c r="C63" t="s">
        <v>355</v>
      </c>
      <c r="D63" t="s">
        <v>355</v>
      </c>
      <c r="E63" t="str">
        <f t="shared" si="0"/>
        <v>L 68 | Grundstücks- und Wohnungswesen</v>
      </c>
      <c r="F63" s="35"/>
    </row>
    <row r="64" spans="1:6">
      <c r="A64" s="35"/>
      <c r="B64" t="s">
        <v>180</v>
      </c>
      <c r="C64" t="s">
        <v>356</v>
      </c>
      <c r="D64" t="s">
        <v>357</v>
      </c>
      <c r="E64" t="str">
        <f t="shared" si="0"/>
        <v>M 69 | Rechtsberatung und Wirtschaftsprüfung</v>
      </c>
      <c r="F64" s="35"/>
    </row>
    <row r="65" spans="1:6">
      <c r="A65" s="35"/>
      <c r="B65" t="s">
        <v>181</v>
      </c>
      <c r="C65" t="s">
        <v>358</v>
      </c>
      <c r="D65" t="s">
        <v>359</v>
      </c>
      <c r="E65" t="str">
        <f t="shared" si="0"/>
        <v>M 70 | Unternehmensführung, -beratung</v>
      </c>
      <c r="F65" s="35"/>
    </row>
    <row r="66" spans="1:6">
      <c r="A66" s="35"/>
      <c r="B66" t="s">
        <v>182</v>
      </c>
      <c r="C66" t="s">
        <v>360</v>
      </c>
      <c r="D66" t="s">
        <v>361</v>
      </c>
      <c r="E66" t="str">
        <f t="shared" si="0"/>
        <v>M 71 | Architektur- und Ingenieurbüros</v>
      </c>
      <c r="F66" s="35"/>
    </row>
    <row r="67" spans="1:6">
      <c r="A67" s="35"/>
      <c r="B67" t="s">
        <v>183</v>
      </c>
      <c r="C67" t="s">
        <v>362</v>
      </c>
      <c r="D67" t="s">
        <v>362</v>
      </c>
      <c r="E67" t="str">
        <f t="shared" si="0"/>
        <v>M 72 | Forschung und Entwicklung</v>
      </c>
      <c r="F67" s="35"/>
    </row>
    <row r="68" spans="1:6">
      <c r="A68" s="35"/>
      <c r="B68" t="s">
        <v>184</v>
      </c>
      <c r="C68" t="s">
        <v>363</v>
      </c>
      <c r="D68" t="s">
        <v>363</v>
      </c>
      <c r="E68" t="str">
        <f t="shared" si="0"/>
        <v>M 73 | Werbung und Marktforschung</v>
      </c>
      <c r="F68" s="35"/>
    </row>
    <row r="69" spans="1:6">
      <c r="A69" s="35"/>
      <c r="B69" t="s">
        <v>185</v>
      </c>
      <c r="C69" t="s">
        <v>364</v>
      </c>
      <c r="D69" t="s">
        <v>365</v>
      </c>
      <c r="E69" t="str">
        <f t="shared" ref="E69:E91" si="2">B69&amp;" | "&amp;D69</f>
        <v>M 74 | Sonst. freiberufl./techn. Tätigkeiten</v>
      </c>
      <c r="F69" s="35"/>
    </row>
    <row r="70" spans="1:6">
      <c r="A70" s="35"/>
      <c r="B70" t="s">
        <v>186</v>
      </c>
      <c r="C70" t="s">
        <v>366</v>
      </c>
      <c r="D70" t="s">
        <v>366</v>
      </c>
      <c r="E70" t="str">
        <f t="shared" si="2"/>
        <v>M 75 | Veterinärwesen</v>
      </c>
      <c r="F70" s="35"/>
    </row>
    <row r="71" spans="1:6">
      <c r="A71" s="35"/>
      <c r="B71" t="s">
        <v>187</v>
      </c>
      <c r="C71" t="s">
        <v>367</v>
      </c>
      <c r="D71" t="s">
        <v>368</v>
      </c>
      <c r="E71" t="str">
        <f t="shared" si="2"/>
        <v>N 77 | Vermietung v. beweglichen Sachen</v>
      </c>
      <c r="F71" s="35"/>
    </row>
    <row r="72" spans="1:6">
      <c r="A72" s="35"/>
      <c r="B72" t="s">
        <v>188</v>
      </c>
      <c r="C72" t="s">
        <v>369</v>
      </c>
      <c r="D72" t="s">
        <v>370</v>
      </c>
      <c r="E72" t="str">
        <f t="shared" si="2"/>
        <v>N 78 | Arbeitskräfteüberlassung</v>
      </c>
      <c r="F72" s="35"/>
    </row>
    <row r="73" spans="1:6">
      <c r="A73" s="35"/>
      <c r="B73" t="s">
        <v>189</v>
      </c>
      <c r="C73" t="s">
        <v>371</v>
      </c>
      <c r="D73" t="s">
        <v>372</v>
      </c>
      <c r="E73" t="str">
        <f t="shared" si="2"/>
        <v>N 79 | Reisebüros und Reiseveranstalter</v>
      </c>
      <c r="F73" s="35"/>
    </row>
    <row r="74" spans="1:6">
      <c r="A74" s="35"/>
      <c r="B74" t="s">
        <v>190</v>
      </c>
      <c r="C74" t="s">
        <v>373</v>
      </c>
      <c r="D74" t="s">
        <v>374</v>
      </c>
      <c r="E74" t="str">
        <f t="shared" si="2"/>
        <v>N 80 | Private Wach- und Sicherheitsdienste</v>
      </c>
      <c r="F74" s="35"/>
    </row>
    <row r="75" spans="1:6">
      <c r="A75" s="35"/>
      <c r="B75" t="s">
        <v>191</v>
      </c>
      <c r="C75" t="s">
        <v>375</v>
      </c>
      <c r="D75" t="s">
        <v>376</v>
      </c>
      <c r="E75" t="str">
        <f t="shared" si="2"/>
        <v>N 81 | Gebäudebetreuung; Gartenbau</v>
      </c>
      <c r="F75" s="35"/>
    </row>
    <row r="76" spans="1:6">
      <c r="A76" s="35"/>
      <c r="B76" t="s">
        <v>192</v>
      </c>
      <c r="C76" t="s">
        <v>377</v>
      </c>
      <c r="D76" t="s">
        <v>378</v>
      </c>
      <c r="E76" t="str">
        <f t="shared" si="2"/>
        <v>N 82 | Wirtschaftliche Dienstleistungen a.n.g.</v>
      </c>
      <c r="F76" s="35"/>
    </row>
    <row r="77" spans="1:6">
      <c r="A77" s="35"/>
      <c r="B77" t="s">
        <v>193</v>
      </c>
      <c r="C77" t="s">
        <v>380</v>
      </c>
      <c r="D77" t="s">
        <v>379</v>
      </c>
      <c r="E77" t="str">
        <f t="shared" si="2"/>
        <v>O 84 | Öffentliche Verwaltung</v>
      </c>
      <c r="F77" s="35"/>
    </row>
    <row r="78" spans="1:6">
      <c r="A78" s="35"/>
      <c r="B78" t="s">
        <v>194</v>
      </c>
      <c r="C78" t="s">
        <v>381</v>
      </c>
      <c r="D78" t="s">
        <v>381</v>
      </c>
      <c r="E78" t="str">
        <f t="shared" si="2"/>
        <v>P 85 | Erziehung und Unterricht</v>
      </c>
      <c r="F78" s="35"/>
    </row>
    <row r="79" spans="1:6">
      <c r="A79" s="35"/>
      <c r="B79" t="s">
        <v>195</v>
      </c>
      <c r="C79" t="s">
        <v>382</v>
      </c>
      <c r="D79" t="s">
        <v>382</v>
      </c>
      <c r="E79" t="str">
        <f t="shared" si="2"/>
        <v>Q 86 | Gesundheitswesen</v>
      </c>
      <c r="F79" s="35"/>
    </row>
    <row r="80" spans="1:6">
      <c r="A80" s="35"/>
      <c r="B80" t="s">
        <v>196</v>
      </c>
      <c r="C80" t="s">
        <v>383</v>
      </c>
      <c r="D80" t="s">
        <v>384</v>
      </c>
      <c r="E80" t="str">
        <f t="shared" si="2"/>
        <v>Q 87 | Alten- und Pflegeheime</v>
      </c>
      <c r="F80" s="35"/>
    </row>
    <row r="81" spans="1:6">
      <c r="A81" s="35"/>
      <c r="B81" t="s">
        <v>197</v>
      </c>
      <c r="C81" t="s">
        <v>385</v>
      </c>
      <c r="D81" t="s">
        <v>386</v>
      </c>
      <c r="E81" t="str">
        <f t="shared" si="2"/>
        <v>Q 88 | Sozialwesen</v>
      </c>
      <c r="F81" s="35"/>
    </row>
    <row r="82" spans="1:6">
      <c r="A82" s="35"/>
      <c r="B82" t="s">
        <v>198</v>
      </c>
      <c r="C82" t="s">
        <v>387</v>
      </c>
      <c r="D82" t="s">
        <v>388</v>
      </c>
      <c r="E82" t="str">
        <f t="shared" si="2"/>
        <v>R 90 | Künstlerische Tätigkeiten</v>
      </c>
      <c r="F82" s="35"/>
    </row>
    <row r="83" spans="1:6">
      <c r="A83" s="35"/>
      <c r="B83" t="s">
        <v>199</v>
      </c>
      <c r="C83" t="s">
        <v>389</v>
      </c>
      <c r="D83" t="s">
        <v>390</v>
      </c>
      <c r="E83" t="str">
        <f t="shared" si="2"/>
        <v>R 91 | Bibliotheken und Museen</v>
      </c>
      <c r="F83" s="35"/>
    </row>
    <row r="84" spans="1:6">
      <c r="A84" s="35"/>
      <c r="B84" t="s">
        <v>200</v>
      </c>
      <c r="C84" t="s">
        <v>391</v>
      </c>
      <c r="D84" t="s">
        <v>391</v>
      </c>
      <c r="E84" t="str">
        <f t="shared" si="2"/>
        <v>R 92 | Spiel-, Wett- und Lotteriewesen</v>
      </c>
      <c r="F84" s="35"/>
    </row>
    <row r="85" spans="1:6">
      <c r="A85" s="35"/>
      <c r="B85" t="s">
        <v>201</v>
      </c>
      <c r="C85" t="s">
        <v>392</v>
      </c>
      <c r="D85" t="s">
        <v>393</v>
      </c>
      <c r="E85" t="str">
        <f t="shared" si="2"/>
        <v>R 93 | Dienstleistungen Sport/Unterhaltung</v>
      </c>
      <c r="F85" s="35"/>
    </row>
    <row r="86" spans="1:6">
      <c r="A86" s="35"/>
      <c r="B86" t="s">
        <v>202</v>
      </c>
      <c r="C86" t="s">
        <v>394</v>
      </c>
      <c r="D86" t="s">
        <v>395</v>
      </c>
      <c r="E86" t="str">
        <f t="shared" si="2"/>
        <v>S 94 | Interessenvertretungen und Vereine</v>
      </c>
      <c r="F86" s="35"/>
    </row>
    <row r="87" spans="1:6">
      <c r="A87" s="35"/>
      <c r="B87" t="s">
        <v>203</v>
      </c>
      <c r="C87" t="s">
        <v>396</v>
      </c>
      <c r="D87" t="s">
        <v>397</v>
      </c>
      <c r="E87" t="str">
        <f t="shared" si="2"/>
        <v>S 95 | Reparatur v. Gebrauchsgütern</v>
      </c>
      <c r="F87" s="35"/>
    </row>
    <row r="88" spans="1:6">
      <c r="A88" s="35"/>
      <c r="B88" t="s">
        <v>204</v>
      </c>
      <c r="C88" t="s">
        <v>398</v>
      </c>
      <c r="D88" t="s">
        <v>399</v>
      </c>
      <c r="E88" t="str">
        <f t="shared" si="2"/>
        <v>S 96 | Sonst. Dienstleistungen a.n.g.</v>
      </c>
      <c r="F88" s="35"/>
    </row>
    <row r="89" spans="1:6">
      <c r="A89" s="35"/>
      <c r="B89" t="s">
        <v>205</v>
      </c>
      <c r="C89" t="s">
        <v>400</v>
      </c>
      <c r="D89" t="s">
        <v>400</v>
      </c>
      <c r="E89" t="str">
        <f t="shared" si="2"/>
        <v>T 97 | Private Haushalte mit Hauspersonal</v>
      </c>
      <c r="F89" s="35"/>
    </row>
    <row r="90" spans="1:6">
      <c r="A90" s="35"/>
      <c r="B90" t="s">
        <v>206</v>
      </c>
      <c r="C90" t="s">
        <v>401</v>
      </c>
      <c r="D90" t="s">
        <v>402</v>
      </c>
      <c r="E90" t="str">
        <f t="shared" si="2"/>
        <v>T 98 | Waren/Dienstleistungen - Eigenbedarf</v>
      </c>
      <c r="F90" s="35"/>
    </row>
    <row r="91" spans="1:6">
      <c r="A91" s="35"/>
      <c r="B91" t="s">
        <v>207</v>
      </c>
      <c r="C91" t="s">
        <v>404</v>
      </c>
      <c r="D91" t="s">
        <v>403</v>
      </c>
      <c r="E91" t="str">
        <f t="shared" si="2"/>
        <v>U 99 | Exterritoriale Organisationen</v>
      </c>
      <c r="F91" s="35"/>
    </row>
    <row r="92" spans="1:6">
      <c r="A92" s="35"/>
      <c r="B92" s="35"/>
      <c r="C92" s="35"/>
      <c r="D92" s="35"/>
      <c r="E92" s="35"/>
      <c r="F92" s="35"/>
    </row>
  </sheetData>
  <sheetProtection algorithmName="SHA-512" hashValue="6Nt32r7M/hv660oLMkSP0e9AGpPmbuz0NiOveG/HQT4aJhmgHr75eMBQtRZI22+H8ZIVpDPS90UkshX0s5YaZw==" saltValue="d1r6D7Hj06jkM4nX3v/zKQ==" spinCount="100000" sheet="1" objects="1" scenarios="1"/>
  <pageMargins left="0.7" right="0.7" top="0.78740157499999996" bottom="0.78740157499999996" header="0.3" footer="0.3"/>
  <pageSetup paperSize="9" orientation="portrait" r:id="rId1"/>
  <headerFooter>
    <oddFooter>&amp;C&amp;Z&amp;F</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A72AC-8BBF-4EE8-A79D-80942BE492B3}">
  <sheetPr>
    <tabColor theme="1"/>
  </sheetPr>
  <dimension ref="A1:O66"/>
  <sheetViews>
    <sheetView workbookViewId="0"/>
  </sheetViews>
  <sheetFormatPr baseColWidth="10" defaultRowHeight="14.25"/>
  <cols>
    <col min="3" max="3" width="30.375" bestFit="1" customWidth="1"/>
    <col min="4" max="4" width="11.375" bestFit="1" customWidth="1"/>
    <col min="5" max="5" width="11.125" bestFit="1" customWidth="1"/>
    <col min="6" max="6" width="11.375" bestFit="1" customWidth="1"/>
    <col min="7" max="8" width="11.125" bestFit="1" customWidth="1"/>
    <col min="9" max="9" width="11.375" bestFit="1" customWidth="1"/>
    <col min="10" max="12" width="11.125" bestFit="1" customWidth="1"/>
    <col min="13" max="13" width="14.125" customWidth="1"/>
  </cols>
  <sheetData>
    <row r="1" spans="1:15" ht="20.25">
      <c r="A1" s="5" t="s">
        <v>454</v>
      </c>
      <c r="B1" s="5"/>
      <c r="C1" s="5"/>
      <c r="D1" s="5"/>
      <c r="E1" s="5"/>
      <c r="F1" s="5"/>
      <c r="G1" s="5"/>
      <c r="H1" s="5"/>
      <c r="I1" s="5"/>
      <c r="J1" s="5"/>
      <c r="K1" s="5"/>
      <c r="L1" s="5"/>
      <c r="M1" s="5"/>
      <c r="N1" s="5"/>
    </row>
    <row r="2" spans="1:15" ht="18">
      <c r="A2" s="9" t="s">
        <v>249</v>
      </c>
      <c r="B2" s="9"/>
      <c r="C2" s="9"/>
    </row>
    <row r="3" spans="1:15">
      <c r="B3" t="s">
        <v>470</v>
      </c>
      <c r="C3" t="s">
        <v>446</v>
      </c>
      <c r="D3" t="s">
        <v>471</v>
      </c>
      <c r="E3" t="s">
        <v>472</v>
      </c>
    </row>
    <row r="4" spans="1:15">
      <c r="A4" t="s">
        <v>12</v>
      </c>
      <c r="B4" t="b">
        <f>Verbrauch!B27&gt;=SUM(Verbrauch!B27:D27)*0.1</f>
        <v>1</v>
      </c>
      <c r="C4" t="b">
        <f>IF(wEVB_G,COUNTIFS(Tab_HEV[Nutzungskategorie],$A4&amp;"*")=0)</f>
        <v>0</v>
      </c>
      <c r="D4" t="b">
        <f>IF(wEVB_G,COUNTA(Tab_LKZGeb[Gebäudekategorie])=0)</f>
        <v>0</v>
      </c>
      <c r="E4" t="b">
        <f>IF(wEVB_G,COUNTIFS(Tab_MN[Nutzungs-
kategorie],$A4&amp;"*")=0)</f>
        <v>0</v>
      </c>
    </row>
    <row r="5" spans="1:15">
      <c r="A5" t="s">
        <v>75</v>
      </c>
      <c r="B5" t="b">
        <f>Verbrauch!C27&gt;=SUM(Verbrauch!B27:D27)*0.1</f>
        <v>1</v>
      </c>
      <c r="C5" t="b">
        <f>IF(wEVB_P,COUNTIFS(Tab_HEV[Nutzungskategorie],$A5&amp;"*")=0)</f>
        <v>0</v>
      </c>
      <c r="D5" t="b">
        <f>IF(wEVB_P,COUNTA(Tab_LKZGeb[Gebäudekategorie])=0)</f>
        <v>0</v>
      </c>
      <c r="E5" t="b">
        <f>IF(wEVB_P,COUNTIFS(Tab_MN[Nutzungs-
kategorie],$A5&amp;"*")=0)</f>
        <v>0</v>
      </c>
    </row>
    <row r="6" spans="1:15">
      <c r="A6" t="s">
        <v>14</v>
      </c>
      <c r="B6" t="b">
        <f>Verbrauch!D27&gt;=SUM(Verbrauch!B27:D27)*0.1</f>
        <v>1</v>
      </c>
      <c r="C6" t="b">
        <f>IF(wEVB_T,COUNTIFS(Tab_HEV[Nutzungskategorie],$A6&amp;"*")=0)</f>
        <v>0</v>
      </c>
      <c r="D6" t="b">
        <f>IF(wEVB_T,COUNTA(Tab_LKZGeb[Gebäudekategorie])=0)</f>
        <v>0</v>
      </c>
      <c r="E6" t="b">
        <f>IF(wEVB_T,COUNTIFS(Tab_MN[Nutzungs-
kategorie],$A6&amp;"*")=0)</f>
        <v>0</v>
      </c>
    </row>
    <row r="8" spans="1:15" ht="18">
      <c r="A8" s="9" t="s">
        <v>0</v>
      </c>
      <c r="B8" s="9"/>
      <c r="C8" s="9"/>
      <c r="D8" s="9"/>
      <c r="E8" s="9"/>
      <c r="F8" s="9"/>
      <c r="G8" s="9"/>
      <c r="H8" s="9"/>
      <c r="I8" s="9"/>
      <c r="J8" s="9"/>
      <c r="K8" s="9"/>
      <c r="L8" s="9"/>
      <c r="M8" s="9"/>
      <c r="N8" s="9"/>
    </row>
    <row r="9" spans="1:15" ht="28.5">
      <c r="D9" s="7" t="str" cm="1">
        <f t="array" ref="D9:L9">TRANSPOSE(DD_ET)</f>
        <v>Elektrische Energie</v>
      </c>
      <c r="E9" s="7" t="str">
        <v>Thermische Energie</v>
      </c>
      <c r="F9" s="7" t="str">
        <v>Gas</v>
      </c>
      <c r="G9" s="7" t="str">
        <v>Öl</v>
      </c>
      <c r="H9" s="7" t="str">
        <v>Kohle</v>
      </c>
      <c r="I9" s="7" t="str">
        <v>Biogene</v>
      </c>
      <c r="J9" s="7" t="str">
        <v>Sonstige Erneuerbare</v>
      </c>
      <c r="K9" s="7" t="str">
        <v>Wasserstoff</v>
      </c>
      <c r="L9" s="7" t="str">
        <v xml:space="preserve">Sonstige </v>
      </c>
      <c r="N9" t="s">
        <v>456</v>
      </c>
    </row>
    <row r="10" spans="1:15">
      <c r="A10" t="s">
        <v>427</v>
      </c>
      <c r="D10" s="4" cm="1">
        <f t="array" ref="D10:L10">TRANSPOSE(Tab_EVpET[Nettojahresenergie-verbrauch '[kWh/a']])</f>
        <v>15096707.9</v>
      </c>
      <c r="E10" s="4">
        <v>2772123.7</v>
      </c>
      <c r="F10" s="4">
        <v>230235.9666666667</v>
      </c>
      <c r="G10" s="4">
        <v>4984535</v>
      </c>
      <c r="H10" s="4">
        <v>0</v>
      </c>
      <c r="I10" s="4">
        <v>200000</v>
      </c>
      <c r="J10" s="4">
        <v>0</v>
      </c>
      <c r="K10" s="4">
        <v>0</v>
      </c>
      <c r="L10" s="4">
        <v>0</v>
      </c>
      <c r="N10" t="str" cm="1">
        <f t="array" ref="N10">Tab_EVpEVB[[#Headers],[Gebäude]]&amp;"
"&amp;ROUND(Tab_EVpEVB[Gebäude]/SUM(Tab_EVpEVB[[Gebäude]:[Transport]]),3)*100&amp;" %"</f>
        <v>Gebäude
19,6 %</v>
      </c>
    </row>
    <row r="11" spans="1:15">
      <c r="D11" s="15">
        <f>ROUND(D10/SUM(_xlfn.ANCHORARRAY($D$10)),3)</f>
        <v>0.64800000000000002</v>
      </c>
      <c r="E11" s="15">
        <f t="shared" ref="E11:L11" si="0">ROUND(E10/SUM(_xlfn.ANCHORARRAY($D$10)),3)</f>
        <v>0.11899999999999999</v>
      </c>
      <c r="F11" s="15">
        <f t="shared" si="0"/>
        <v>0.01</v>
      </c>
      <c r="G11" s="15">
        <f t="shared" si="0"/>
        <v>0.214</v>
      </c>
      <c r="H11" s="15">
        <f t="shared" si="0"/>
        <v>0</v>
      </c>
      <c r="I11" s="15">
        <f t="shared" si="0"/>
        <v>8.9999999999999993E-3</v>
      </c>
      <c r="J11" s="15">
        <f t="shared" si="0"/>
        <v>0</v>
      </c>
      <c r="K11" s="15">
        <f t="shared" si="0"/>
        <v>0</v>
      </c>
      <c r="L11" s="15">
        <f t="shared" si="0"/>
        <v>0</v>
      </c>
      <c r="N11" t="str" cm="1">
        <f t="array" ref="N11">Tab_EVpEVB[[#Headers],[Prozesse]]&amp;"
"&amp;ROUND(Tab_EVpEVB[Prozesse]/SUM(Tab_EVpEVB[[Gebäude]:[Transport]]),3)*100&amp;" %"</f>
        <v>Prozesse
59 %</v>
      </c>
    </row>
    <row r="12" spans="1:15">
      <c r="A12" t="s">
        <v>455</v>
      </c>
      <c r="D12" s="15" t="str">
        <f>D9&amp;", "&amp;D11*100&amp;" %"</f>
        <v>Elektrische Energie, 64,8 %</v>
      </c>
      <c r="E12" s="15" t="str">
        <f t="shared" ref="E12:L12" si="1">E9&amp;", "&amp;E11*100&amp;" %"</f>
        <v>Thermische Energie, 11,9 %</v>
      </c>
      <c r="F12" s="15" t="str">
        <f t="shared" si="1"/>
        <v>Gas, 1 %</v>
      </c>
      <c r="G12" s="15" t="str">
        <f t="shared" si="1"/>
        <v>Öl, 21,4 %</v>
      </c>
      <c r="H12" s="15" t="str">
        <f t="shared" si="1"/>
        <v>Kohle, 0 %</v>
      </c>
      <c r="I12" s="15" t="str">
        <f t="shared" si="1"/>
        <v>Biogene, 0,9 %</v>
      </c>
      <c r="J12" s="15" t="str">
        <f t="shared" si="1"/>
        <v>Sonstige Erneuerbare, 0 %</v>
      </c>
      <c r="K12" s="15" t="str">
        <f t="shared" si="1"/>
        <v>Wasserstoff, 0 %</v>
      </c>
      <c r="L12" s="15" t="str">
        <f t="shared" si="1"/>
        <v>Sonstige , 0 %</v>
      </c>
      <c r="N12" t="str" cm="1">
        <f t="array" ref="N12">Tab_EVpEVB[[#Headers],[Transport]]&amp;"
"&amp;ROUND(Tab_EVpEVB[Transport]/SUM(Tab_EVpEVB[[Gebäude]:[Transport]]),3)*100&amp;" %"</f>
        <v>Transport
21,4 %</v>
      </c>
    </row>
    <row r="14" spans="1:15" ht="18">
      <c r="A14" s="9"/>
      <c r="B14" s="9" t="s">
        <v>77</v>
      </c>
      <c r="C14" s="9"/>
      <c r="D14" s="9"/>
      <c r="E14" s="9"/>
      <c r="F14" s="9"/>
      <c r="G14" s="9"/>
      <c r="H14" s="9"/>
      <c r="I14" s="9"/>
      <c r="J14" s="9"/>
      <c r="K14" s="9"/>
      <c r="L14" s="9"/>
      <c r="M14" s="9"/>
      <c r="N14" s="9"/>
    </row>
    <row r="15" spans="1:15" ht="29.25">
      <c r="A15" s="9"/>
      <c r="B15" s="39" t="s">
        <v>460</v>
      </c>
      <c r="C15" s="39" t="s">
        <v>461</v>
      </c>
      <c r="D15" s="40" t="str" cm="1">
        <f t="array" ref="D15:L15">TRANSPOSE(DD_ET)</f>
        <v>Elektrische Energie</v>
      </c>
      <c r="E15" s="40" t="str">
        <v>Thermische Energie</v>
      </c>
      <c r="F15" s="40" t="str">
        <v>Gas</v>
      </c>
      <c r="G15" s="40" t="str">
        <v>Öl</v>
      </c>
      <c r="H15" s="40" t="str">
        <v>Kohle</v>
      </c>
      <c r="I15" s="40" t="str">
        <v>Biogene</v>
      </c>
      <c r="J15" s="40" t="str">
        <v>Sonstige Erneuerbare</v>
      </c>
      <c r="K15" s="40" t="str">
        <v>Wasserstoff</v>
      </c>
      <c r="L15" s="40" t="str">
        <v xml:space="preserve">Sonstige </v>
      </c>
      <c r="M15" s="41" t="s">
        <v>431</v>
      </c>
      <c r="N15" t="s">
        <v>432</v>
      </c>
    </row>
    <row r="16" spans="1:15" ht="18">
      <c r="A16" s="9"/>
      <c r="B16" s="117" t="s">
        <v>12</v>
      </c>
      <c r="C16" s="48" t="str">
        <f>MID(Nebenrechnungen!O16,SEARCH("|",Nebenrechnungen!O16)+2,LEN(Nebenrechnungen!O16))</f>
        <v>Raumwärme</v>
      </c>
      <c r="D16" s="90">
        <f>SUMIFS(Tab_HEV[Energiemenge
'[kWh/a']],Tab_HEV[Energieträger],D$15,Tab_HEV[Nutzungskategorie],Nebenrechnungen!$O16)</f>
        <v>0</v>
      </c>
      <c r="E16" s="90">
        <f>SUMIFS(Tab_HEV[Energiemenge
'[kWh/a']],Tab_HEV[Energieträger],E$15,Tab_HEV[Nutzungskategorie],Nebenrechnungen!$O16)</f>
        <v>2190000</v>
      </c>
      <c r="F16" s="90">
        <f>SUMIFS(Tab_HEV[Energiemenge
'[kWh/a']],Tab_HEV[Energieträger],F$15,Tab_HEV[Nutzungskategorie],Nebenrechnungen!$O16)</f>
        <v>0</v>
      </c>
      <c r="G16" s="90">
        <f>SUMIFS(Tab_HEV[Energiemenge
'[kWh/a']],Tab_HEV[Energieträger],G$15,Tab_HEV[Nutzungskategorie],Nebenrechnungen!$O16)</f>
        <v>0</v>
      </c>
      <c r="H16" s="90">
        <f>SUMIFS(Tab_HEV[Energiemenge
'[kWh/a']],Tab_HEV[Energieträger],H$15,Tab_HEV[Nutzungskategorie],Nebenrechnungen!$O16)</f>
        <v>0</v>
      </c>
      <c r="I16" s="90">
        <f>SUMIFS(Tab_HEV[Energiemenge
'[kWh/a']],Tab_HEV[Energieträger],I$15,Tab_HEV[Nutzungskategorie],Nebenrechnungen!$O16)</f>
        <v>0</v>
      </c>
      <c r="J16" s="90">
        <f>SUMIFS(Tab_HEV[Energiemenge
'[kWh/a']],Tab_HEV[Energieträger],J$15,Tab_HEV[Nutzungskategorie],Nebenrechnungen!$O16)</f>
        <v>0</v>
      </c>
      <c r="K16" s="90">
        <f>SUMIFS(Tab_HEV[Energiemenge
'[kWh/a']],Tab_HEV[Energieträger],K$15,Tab_HEV[Nutzungskategorie],Nebenrechnungen!$O16)</f>
        <v>0</v>
      </c>
      <c r="L16" s="90">
        <f>SUMIFS(Tab_HEV[Energiemenge
'[kWh/a']],Tab_HEV[Energieträger],L$15,Tab_HEV[Nutzungskategorie],Nebenrechnungen!$O16)</f>
        <v>0</v>
      </c>
      <c r="M16" s="42">
        <f>SUM(D16:L16)</f>
        <v>2190000</v>
      </c>
      <c r="N16" s="18">
        <f>IF(M16=0,0,_xlfn.RANK.EQ(M16,$M$16:$M$38)+COUNTIF($M$16:$M16,$M16)-1)</f>
        <v>4</v>
      </c>
      <c r="O16" t="str" cm="1">
        <f t="array" ref="O16:O38">DD_NKat</f>
        <v>Gebäude | Raumwärme</v>
      </c>
    </row>
    <row r="17" spans="1:15" ht="18">
      <c r="A17" s="9"/>
      <c r="B17" s="118"/>
      <c r="C17" s="49" t="str">
        <f>MID(Nebenrechnungen!O17,SEARCH("|",Nebenrechnungen!O17)+2,LEN(Nebenrechnungen!O17))</f>
        <v>Warmwasser und Sanitärtechnik</v>
      </c>
      <c r="D17" s="90">
        <f>SUMIFS(Tab_HEV[Energiemenge
'[kWh/a']],Tab_HEV[Energieträger],D$15,Tab_HEV[Nutzungskategorie],Nebenrechnungen!$O17)</f>
        <v>0</v>
      </c>
      <c r="E17" s="90">
        <f>SUMIFS(Tab_HEV[Energiemenge
'[kWh/a']],Tab_HEV[Energieträger],E$15,Tab_HEV[Nutzungskategorie],Nebenrechnungen!$O17)</f>
        <v>20500</v>
      </c>
      <c r="F17" s="90">
        <f>SUMIFS(Tab_HEV[Energiemenge
'[kWh/a']],Tab_HEV[Energieträger],F$15,Tab_HEV[Nutzungskategorie],Nebenrechnungen!$O17)</f>
        <v>0</v>
      </c>
      <c r="G17" s="90">
        <f>SUMIFS(Tab_HEV[Energiemenge
'[kWh/a']],Tab_HEV[Energieträger],G$15,Tab_HEV[Nutzungskategorie],Nebenrechnungen!$O17)</f>
        <v>0</v>
      </c>
      <c r="H17" s="90">
        <f>SUMIFS(Tab_HEV[Energiemenge
'[kWh/a']],Tab_HEV[Energieträger],H$15,Tab_HEV[Nutzungskategorie],Nebenrechnungen!$O17)</f>
        <v>0</v>
      </c>
      <c r="I17" s="90">
        <f>SUMIFS(Tab_HEV[Energiemenge
'[kWh/a']],Tab_HEV[Energieträger],I$15,Tab_HEV[Nutzungskategorie],Nebenrechnungen!$O17)</f>
        <v>0</v>
      </c>
      <c r="J17" s="90">
        <f>SUMIFS(Tab_HEV[Energiemenge
'[kWh/a']],Tab_HEV[Energieträger],J$15,Tab_HEV[Nutzungskategorie],Nebenrechnungen!$O17)</f>
        <v>0</v>
      </c>
      <c r="K17" s="90">
        <f>SUMIFS(Tab_HEV[Energiemenge
'[kWh/a']],Tab_HEV[Energieträger],K$15,Tab_HEV[Nutzungskategorie],Nebenrechnungen!$O17)</f>
        <v>0</v>
      </c>
      <c r="L17" s="90">
        <f>SUMIFS(Tab_HEV[Energiemenge
'[kWh/a']],Tab_HEV[Energieträger],L$15,Tab_HEV[Nutzungskategorie],Nebenrechnungen!$O17)</f>
        <v>0</v>
      </c>
      <c r="M17" s="43">
        <f t="shared" ref="M17:M39" si="2">SUM(D17:L17)</f>
        <v>20500</v>
      </c>
      <c r="N17" s="18">
        <f>IF(M17=0,0,_xlfn.RANK.EQ(M17,$M$16:$M$38)+COUNTIF($M$16:$M17,$M17)-1)</f>
        <v>14</v>
      </c>
      <c r="O17" t="str">
        <v>Gebäude | Warmwasser und Sanitärtechnik</v>
      </c>
    </row>
    <row r="18" spans="1:15" ht="18">
      <c r="A18" s="9"/>
      <c r="B18" s="118"/>
      <c r="C18" s="49" t="str">
        <f>MID(Nebenrechnungen!O18,SEARCH("|",Nebenrechnungen!O18)+2,LEN(Nebenrechnungen!O18))</f>
        <v>Lüftung</v>
      </c>
      <c r="D18" s="90">
        <f>SUMIFS(Tab_HEV[Energiemenge
'[kWh/a']],Tab_HEV[Energieträger],D$15,Tab_HEV[Nutzungskategorie],Nebenrechnungen!$O18)</f>
        <v>0</v>
      </c>
      <c r="E18" s="90">
        <f>SUMIFS(Tab_HEV[Energiemenge
'[kWh/a']],Tab_HEV[Energieträger],E$15,Tab_HEV[Nutzungskategorie],Nebenrechnungen!$O18)</f>
        <v>0</v>
      </c>
      <c r="F18" s="90">
        <f>SUMIFS(Tab_HEV[Energiemenge
'[kWh/a']],Tab_HEV[Energieträger],F$15,Tab_HEV[Nutzungskategorie],Nebenrechnungen!$O18)</f>
        <v>0</v>
      </c>
      <c r="G18" s="90">
        <f>SUMIFS(Tab_HEV[Energiemenge
'[kWh/a']],Tab_HEV[Energieträger],G$15,Tab_HEV[Nutzungskategorie],Nebenrechnungen!$O18)</f>
        <v>0</v>
      </c>
      <c r="H18" s="90">
        <f>SUMIFS(Tab_HEV[Energiemenge
'[kWh/a']],Tab_HEV[Energieträger],H$15,Tab_HEV[Nutzungskategorie],Nebenrechnungen!$O18)</f>
        <v>0</v>
      </c>
      <c r="I18" s="90">
        <f>SUMIFS(Tab_HEV[Energiemenge
'[kWh/a']],Tab_HEV[Energieträger],I$15,Tab_HEV[Nutzungskategorie],Nebenrechnungen!$O18)</f>
        <v>0</v>
      </c>
      <c r="J18" s="90">
        <f>SUMIFS(Tab_HEV[Energiemenge
'[kWh/a']],Tab_HEV[Energieträger],J$15,Tab_HEV[Nutzungskategorie],Nebenrechnungen!$O18)</f>
        <v>0</v>
      </c>
      <c r="K18" s="90">
        <f>SUMIFS(Tab_HEV[Energiemenge
'[kWh/a']],Tab_HEV[Energieträger],K$15,Tab_HEV[Nutzungskategorie],Nebenrechnungen!$O18)</f>
        <v>0</v>
      </c>
      <c r="L18" s="90">
        <f>SUMIFS(Tab_HEV[Energiemenge
'[kWh/a']],Tab_HEV[Energieträger],L$15,Tab_HEV[Nutzungskategorie],Nebenrechnungen!$O18)</f>
        <v>0</v>
      </c>
      <c r="M18" s="43">
        <f t="shared" si="2"/>
        <v>0</v>
      </c>
      <c r="N18" s="18">
        <f>IF(M18=0,0,_xlfn.RANK.EQ(M18,$M$16:$M$38)+COUNTIF($M$16:$M18,$M18)-1)</f>
        <v>0</v>
      </c>
      <c r="O18" t="str">
        <v>Gebäude | Lüftung</v>
      </c>
    </row>
    <row r="19" spans="1:15" ht="18">
      <c r="A19" s="9"/>
      <c r="B19" s="118"/>
      <c r="C19" s="49" t="str">
        <f>MID(Nebenrechnungen!O19,SEARCH("|",Nebenrechnungen!O19)+2,LEN(Nebenrechnungen!O19))</f>
        <v>Raumklimatisierung</v>
      </c>
      <c r="D19" s="90">
        <f>SUMIFS(Tab_HEV[Energiemenge
'[kWh/a']],Tab_HEV[Energieträger],D$15,Tab_HEV[Nutzungskategorie],Nebenrechnungen!$O19)</f>
        <v>520000</v>
      </c>
      <c r="E19" s="90">
        <f>SUMIFS(Tab_HEV[Energiemenge
'[kWh/a']],Tab_HEV[Energieträger],E$15,Tab_HEV[Nutzungskategorie],Nebenrechnungen!$O19)</f>
        <v>0</v>
      </c>
      <c r="F19" s="90">
        <f>SUMIFS(Tab_HEV[Energiemenge
'[kWh/a']],Tab_HEV[Energieträger],F$15,Tab_HEV[Nutzungskategorie],Nebenrechnungen!$O19)</f>
        <v>0</v>
      </c>
      <c r="G19" s="90">
        <f>SUMIFS(Tab_HEV[Energiemenge
'[kWh/a']],Tab_HEV[Energieträger],G$15,Tab_HEV[Nutzungskategorie],Nebenrechnungen!$O19)</f>
        <v>0</v>
      </c>
      <c r="H19" s="90">
        <f>SUMIFS(Tab_HEV[Energiemenge
'[kWh/a']],Tab_HEV[Energieträger],H$15,Tab_HEV[Nutzungskategorie],Nebenrechnungen!$O19)</f>
        <v>0</v>
      </c>
      <c r="I19" s="90">
        <f>SUMIFS(Tab_HEV[Energiemenge
'[kWh/a']],Tab_HEV[Energieträger],I$15,Tab_HEV[Nutzungskategorie],Nebenrechnungen!$O19)</f>
        <v>0</v>
      </c>
      <c r="J19" s="90">
        <f>SUMIFS(Tab_HEV[Energiemenge
'[kWh/a']],Tab_HEV[Energieträger],J$15,Tab_HEV[Nutzungskategorie],Nebenrechnungen!$O19)</f>
        <v>0</v>
      </c>
      <c r="K19" s="90">
        <f>SUMIFS(Tab_HEV[Energiemenge
'[kWh/a']],Tab_HEV[Energieträger],K$15,Tab_HEV[Nutzungskategorie],Nebenrechnungen!$O19)</f>
        <v>0</v>
      </c>
      <c r="L19" s="90">
        <f>SUMIFS(Tab_HEV[Energiemenge
'[kWh/a']],Tab_HEV[Energieträger],L$15,Tab_HEV[Nutzungskategorie],Nebenrechnungen!$O19)</f>
        <v>0</v>
      </c>
      <c r="M19" s="43">
        <f t="shared" si="2"/>
        <v>520000</v>
      </c>
      <c r="N19" s="18">
        <f>IF(M19=0,0,_xlfn.RANK.EQ(M19,$M$16:$M$38)+COUNTIF($M$16:$M19,$M19)-1)</f>
        <v>8</v>
      </c>
      <c r="O19" t="str">
        <v>Gebäude | Raumklimatisierung</v>
      </c>
    </row>
    <row r="20" spans="1:15" ht="18">
      <c r="A20" s="9"/>
      <c r="B20" s="118"/>
      <c r="C20" s="49" t="str">
        <f>MID(Nebenrechnungen!O20,SEARCH("|",Nebenrechnungen!O20)+2,LEN(Nebenrechnungen!O20))</f>
        <v>Beleuchtung</v>
      </c>
      <c r="D20" s="90">
        <f>SUMIFS(Tab_HEV[Energiemenge
'[kWh/a']],Tab_HEV[Energieträger],D$15,Tab_HEV[Nutzungskategorie],Nebenrechnungen!$O20)</f>
        <v>1316420</v>
      </c>
      <c r="E20" s="90">
        <f>SUMIFS(Tab_HEV[Energiemenge
'[kWh/a']],Tab_HEV[Energieträger],E$15,Tab_HEV[Nutzungskategorie],Nebenrechnungen!$O20)</f>
        <v>0</v>
      </c>
      <c r="F20" s="90">
        <f>SUMIFS(Tab_HEV[Energiemenge
'[kWh/a']],Tab_HEV[Energieträger],F$15,Tab_HEV[Nutzungskategorie],Nebenrechnungen!$O20)</f>
        <v>0</v>
      </c>
      <c r="G20" s="90">
        <f>SUMIFS(Tab_HEV[Energiemenge
'[kWh/a']],Tab_HEV[Energieträger],G$15,Tab_HEV[Nutzungskategorie],Nebenrechnungen!$O20)</f>
        <v>0</v>
      </c>
      <c r="H20" s="90">
        <f>SUMIFS(Tab_HEV[Energiemenge
'[kWh/a']],Tab_HEV[Energieträger],H$15,Tab_HEV[Nutzungskategorie],Nebenrechnungen!$O20)</f>
        <v>0</v>
      </c>
      <c r="I20" s="90">
        <f>SUMIFS(Tab_HEV[Energiemenge
'[kWh/a']],Tab_HEV[Energieträger],I$15,Tab_HEV[Nutzungskategorie],Nebenrechnungen!$O20)</f>
        <v>0</v>
      </c>
      <c r="J20" s="90">
        <f>SUMIFS(Tab_HEV[Energiemenge
'[kWh/a']],Tab_HEV[Energieträger],J$15,Tab_HEV[Nutzungskategorie],Nebenrechnungen!$O20)</f>
        <v>0</v>
      </c>
      <c r="K20" s="90">
        <f>SUMIFS(Tab_HEV[Energiemenge
'[kWh/a']],Tab_HEV[Energieträger],K$15,Tab_HEV[Nutzungskategorie],Nebenrechnungen!$O20)</f>
        <v>0</v>
      </c>
      <c r="L20" s="90">
        <f>SUMIFS(Tab_HEV[Energiemenge
'[kWh/a']],Tab_HEV[Energieträger],L$15,Tab_HEV[Nutzungskategorie],Nebenrechnungen!$O20)</f>
        <v>0</v>
      </c>
      <c r="M20" s="43">
        <f t="shared" si="2"/>
        <v>1316420</v>
      </c>
      <c r="N20" s="18">
        <f>IF(M20=0,0,_xlfn.RANK.EQ(M20,$M$16:$M$38)+COUNTIF($M$16:$M20,$M20)-1)</f>
        <v>5</v>
      </c>
      <c r="O20" t="str">
        <v>Gebäude | Beleuchtung</v>
      </c>
    </row>
    <row r="21" spans="1:15" ht="18">
      <c r="A21" s="9"/>
      <c r="B21" s="118"/>
      <c r="C21" s="49" t="str">
        <f>MID(Nebenrechnungen!O21,SEARCH("|",Nebenrechnungen!O21)+2,LEN(Nebenrechnungen!O21))</f>
        <v>Küchengeräte</v>
      </c>
      <c r="D21" s="90">
        <f>SUMIFS(Tab_HEV[Energiemenge
'[kWh/a']],Tab_HEV[Energieträger],D$15,Tab_HEV[Nutzungskategorie],Nebenrechnungen!$O21)</f>
        <v>0</v>
      </c>
      <c r="E21" s="90">
        <f>SUMIFS(Tab_HEV[Energiemenge
'[kWh/a']],Tab_HEV[Energieträger],E$15,Tab_HEV[Nutzungskategorie],Nebenrechnungen!$O21)</f>
        <v>0</v>
      </c>
      <c r="F21" s="90">
        <f>SUMIFS(Tab_HEV[Energiemenge
'[kWh/a']],Tab_HEV[Energieträger],F$15,Tab_HEV[Nutzungskategorie],Nebenrechnungen!$O21)</f>
        <v>0</v>
      </c>
      <c r="G21" s="90">
        <f>SUMIFS(Tab_HEV[Energiemenge
'[kWh/a']],Tab_HEV[Energieträger],G$15,Tab_HEV[Nutzungskategorie],Nebenrechnungen!$O21)</f>
        <v>0</v>
      </c>
      <c r="H21" s="90">
        <f>SUMIFS(Tab_HEV[Energiemenge
'[kWh/a']],Tab_HEV[Energieträger],H$15,Tab_HEV[Nutzungskategorie],Nebenrechnungen!$O21)</f>
        <v>0</v>
      </c>
      <c r="I21" s="90">
        <f>SUMIFS(Tab_HEV[Energiemenge
'[kWh/a']],Tab_HEV[Energieträger],I$15,Tab_HEV[Nutzungskategorie],Nebenrechnungen!$O21)</f>
        <v>0</v>
      </c>
      <c r="J21" s="90">
        <f>SUMIFS(Tab_HEV[Energiemenge
'[kWh/a']],Tab_HEV[Energieträger],J$15,Tab_HEV[Nutzungskategorie],Nebenrechnungen!$O21)</f>
        <v>0</v>
      </c>
      <c r="K21" s="90">
        <f>SUMIFS(Tab_HEV[Energiemenge
'[kWh/a']],Tab_HEV[Energieträger],K$15,Tab_HEV[Nutzungskategorie],Nebenrechnungen!$O21)</f>
        <v>0</v>
      </c>
      <c r="L21" s="90">
        <f>SUMIFS(Tab_HEV[Energiemenge
'[kWh/a']],Tab_HEV[Energieträger],L$15,Tab_HEV[Nutzungskategorie],Nebenrechnungen!$O21)</f>
        <v>0</v>
      </c>
      <c r="M21" s="43">
        <f t="shared" si="2"/>
        <v>0</v>
      </c>
      <c r="N21" s="18">
        <f>IF(M21=0,0,_xlfn.RANK.EQ(M21,$M$16:$M$38)+COUNTIF($M$16:$M21,$M21)-1)</f>
        <v>0</v>
      </c>
      <c r="O21" t="str">
        <v>Gebäude | Küchengeräte</v>
      </c>
    </row>
    <row r="22" spans="1:15" ht="18">
      <c r="A22" s="9"/>
      <c r="B22" s="118"/>
      <c r="C22" s="49" t="str">
        <f>MID(Nebenrechnungen!O22,SEARCH("|",Nebenrechnungen!O22)+2,LEN(Nebenrechnungen!O22))</f>
        <v>Informationstechnik</v>
      </c>
      <c r="D22" s="90">
        <f>SUMIFS(Tab_HEV[Energiemenge
'[kWh/a']],Tab_HEV[Energieträger],D$15,Tab_HEV[Nutzungskategorie],Nebenrechnungen!$O22)</f>
        <v>150000</v>
      </c>
      <c r="E22" s="90">
        <f>SUMIFS(Tab_HEV[Energiemenge
'[kWh/a']],Tab_HEV[Energieträger],E$15,Tab_HEV[Nutzungskategorie],Nebenrechnungen!$O22)</f>
        <v>0</v>
      </c>
      <c r="F22" s="90">
        <f>SUMIFS(Tab_HEV[Energiemenge
'[kWh/a']],Tab_HEV[Energieträger],F$15,Tab_HEV[Nutzungskategorie],Nebenrechnungen!$O22)</f>
        <v>0</v>
      </c>
      <c r="G22" s="90">
        <f>SUMIFS(Tab_HEV[Energiemenge
'[kWh/a']],Tab_HEV[Energieträger],G$15,Tab_HEV[Nutzungskategorie],Nebenrechnungen!$O22)</f>
        <v>0</v>
      </c>
      <c r="H22" s="90">
        <f>SUMIFS(Tab_HEV[Energiemenge
'[kWh/a']],Tab_HEV[Energieträger],H$15,Tab_HEV[Nutzungskategorie],Nebenrechnungen!$O22)</f>
        <v>0</v>
      </c>
      <c r="I22" s="90">
        <f>SUMIFS(Tab_HEV[Energiemenge
'[kWh/a']],Tab_HEV[Energieträger],I$15,Tab_HEV[Nutzungskategorie],Nebenrechnungen!$O22)</f>
        <v>0</v>
      </c>
      <c r="J22" s="90">
        <f>SUMIFS(Tab_HEV[Energiemenge
'[kWh/a']],Tab_HEV[Energieträger],J$15,Tab_HEV[Nutzungskategorie],Nebenrechnungen!$O22)</f>
        <v>0</v>
      </c>
      <c r="K22" s="90">
        <f>SUMIFS(Tab_HEV[Energiemenge
'[kWh/a']],Tab_HEV[Energieträger],K$15,Tab_HEV[Nutzungskategorie],Nebenrechnungen!$O22)</f>
        <v>0</v>
      </c>
      <c r="L22" s="90">
        <f>SUMIFS(Tab_HEV[Energiemenge
'[kWh/a']],Tab_HEV[Energieträger],L$15,Tab_HEV[Nutzungskategorie],Nebenrechnungen!$O22)</f>
        <v>0</v>
      </c>
      <c r="M22" s="43">
        <f t="shared" si="2"/>
        <v>150000</v>
      </c>
      <c r="N22" s="18">
        <f>IF(M22=0,0,_xlfn.RANK.EQ(M22,$M$16:$M$38)+COUNTIF($M$16:$M22,$M22)-1)</f>
        <v>13</v>
      </c>
      <c r="O22" t="str">
        <v>Gebäude | Informationstechnik</v>
      </c>
    </row>
    <row r="23" spans="1:15" ht="18">
      <c r="A23" s="9"/>
      <c r="B23" s="118"/>
      <c r="C23" s="49" t="str">
        <f>MID(Nebenrechnungen!O23,SEARCH("|",Nebenrechnungen!O23)+2,LEN(Nebenrechnungen!O23))</f>
        <v>sonstige Dienstleistungen</v>
      </c>
      <c r="D23" s="90">
        <f>SUMIFS(Tab_HEV[Energiemenge
'[kWh/a']],Tab_HEV[Energieträger],D$15,Tab_HEV[Nutzungskategorie],Nebenrechnungen!$O23)</f>
        <v>0</v>
      </c>
      <c r="E23" s="90">
        <f>SUMIFS(Tab_HEV[Energiemenge
'[kWh/a']],Tab_HEV[Energieträger],E$15,Tab_HEV[Nutzungskategorie],Nebenrechnungen!$O23)</f>
        <v>0</v>
      </c>
      <c r="F23" s="90">
        <f>SUMIFS(Tab_HEV[Energiemenge
'[kWh/a']],Tab_HEV[Energieträger],F$15,Tab_HEV[Nutzungskategorie],Nebenrechnungen!$O23)</f>
        <v>0</v>
      </c>
      <c r="G23" s="90">
        <f>SUMIFS(Tab_HEV[Energiemenge
'[kWh/a']],Tab_HEV[Energieträger],G$15,Tab_HEV[Nutzungskategorie],Nebenrechnungen!$O23)</f>
        <v>0</v>
      </c>
      <c r="H23" s="90">
        <f>SUMIFS(Tab_HEV[Energiemenge
'[kWh/a']],Tab_HEV[Energieträger],H$15,Tab_HEV[Nutzungskategorie],Nebenrechnungen!$O23)</f>
        <v>0</v>
      </c>
      <c r="I23" s="90">
        <f>SUMIFS(Tab_HEV[Energiemenge
'[kWh/a']],Tab_HEV[Energieträger],I$15,Tab_HEV[Nutzungskategorie],Nebenrechnungen!$O23)</f>
        <v>0</v>
      </c>
      <c r="J23" s="90">
        <f>SUMIFS(Tab_HEV[Energiemenge
'[kWh/a']],Tab_HEV[Energieträger],J$15,Tab_HEV[Nutzungskategorie],Nebenrechnungen!$O23)</f>
        <v>0</v>
      </c>
      <c r="K23" s="90">
        <f>SUMIFS(Tab_HEV[Energiemenge
'[kWh/a']],Tab_HEV[Energieträger],K$15,Tab_HEV[Nutzungskategorie],Nebenrechnungen!$O23)</f>
        <v>0</v>
      </c>
      <c r="L23" s="90">
        <f>SUMIFS(Tab_HEV[Energiemenge
'[kWh/a']],Tab_HEV[Energieträger],L$15,Tab_HEV[Nutzungskategorie],Nebenrechnungen!$O23)</f>
        <v>0</v>
      </c>
      <c r="M23" s="43">
        <f t="shared" si="2"/>
        <v>0</v>
      </c>
      <c r="N23" s="18">
        <f>IF(M23=0,0,_xlfn.RANK.EQ(M23,$M$16:$M$38)+COUNTIF($M$16:$M23,$M23)-1)</f>
        <v>0</v>
      </c>
      <c r="O23" t="str">
        <v>Gebäude | sonstige Dienstleistungen</v>
      </c>
    </row>
    <row r="24" spans="1:15" ht="18">
      <c r="A24" s="9"/>
      <c r="B24" s="119"/>
      <c r="C24" s="50" t="str">
        <f>MID(Nebenrechnungen!O24,SEARCH("|",Nebenrechnungen!O24)+2,LEN(Nebenrechnungen!O24))</f>
        <v>sonstige Nutzungen</v>
      </c>
      <c r="D24" s="90">
        <f>SUMIFS(Tab_HEV[Energiemenge
'[kWh/a']],Tab_HEV[Energieträger],D$15,Tab_HEV[Nutzungskategorie],Nebenrechnungen!$O24)</f>
        <v>343080</v>
      </c>
      <c r="E24" s="90">
        <f>SUMIFS(Tab_HEV[Energiemenge
'[kWh/a']],Tab_HEV[Energieträger],E$15,Tab_HEV[Nutzungskategorie],Nebenrechnungen!$O24)</f>
        <v>0</v>
      </c>
      <c r="F24" s="90">
        <f>SUMIFS(Tab_HEV[Energiemenge
'[kWh/a']],Tab_HEV[Energieträger],F$15,Tab_HEV[Nutzungskategorie],Nebenrechnungen!$O24)</f>
        <v>28000</v>
      </c>
      <c r="G24" s="90">
        <f>SUMIFS(Tab_HEV[Energiemenge
'[kWh/a']],Tab_HEV[Energieträger],G$15,Tab_HEV[Nutzungskategorie],Nebenrechnungen!$O24)</f>
        <v>0</v>
      </c>
      <c r="H24" s="90">
        <f>SUMIFS(Tab_HEV[Energiemenge
'[kWh/a']],Tab_HEV[Energieträger],H$15,Tab_HEV[Nutzungskategorie],Nebenrechnungen!$O24)</f>
        <v>0</v>
      </c>
      <c r="I24" s="90">
        <f>SUMIFS(Tab_HEV[Energiemenge
'[kWh/a']],Tab_HEV[Energieträger],I$15,Tab_HEV[Nutzungskategorie],Nebenrechnungen!$O24)</f>
        <v>0</v>
      </c>
      <c r="J24" s="90">
        <f>SUMIFS(Tab_HEV[Energiemenge
'[kWh/a']],Tab_HEV[Energieträger],J$15,Tab_HEV[Nutzungskategorie],Nebenrechnungen!$O24)</f>
        <v>0</v>
      </c>
      <c r="K24" s="90">
        <f>SUMIFS(Tab_HEV[Energiemenge
'[kWh/a']],Tab_HEV[Energieträger],K$15,Tab_HEV[Nutzungskategorie],Nebenrechnungen!$O24)</f>
        <v>0</v>
      </c>
      <c r="L24" s="90">
        <f>SUMIFS(Tab_HEV[Energiemenge
'[kWh/a']],Tab_HEV[Energieträger],L$15,Tab_HEV[Nutzungskategorie],Nebenrechnungen!$O24)</f>
        <v>0</v>
      </c>
      <c r="M24" s="44">
        <f t="shared" si="2"/>
        <v>371080</v>
      </c>
      <c r="N24" s="18">
        <f>IF(M24=0,0,_xlfn.RANK.EQ(M24,$M$16:$M$38)+COUNTIF($M$16:$M24,$M24)-1)</f>
        <v>9</v>
      </c>
      <c r="O24" t="str">
        <v>Gebäude | sonstige Nutzungen</v>
      </c>
    </row>
    <row r="25" spans="1:15" ht="18">
      <c r="A25" s="9"/>
      <c r="B25" s="117" t="s">
        <v>76</v>
      </c>
      <c r="C25" s="48" t="str">
        <f>MID(Nebenrechnungen!O25,SEARCH("|",Nebenrechnungen!O25)+2,LEN(Nebenrechnungen!O25))</f>
        <v>Prozesswärme &gt; 200  °C</v>
      </c>
      <c r="D25" s="90">
        <f>SUMIFS(Tab_HEV[Energiemenge
'[kWh/a']],Tab_HEV[Energieträger],D$15,Tab_HEV[Nutzungskategorie],Nebenrechnungen!$O25)</f>
        <v>0</v>
      </c>
      <c r="E25" s="90">
        <f>SUMIFS(Tab_HEV[Energiemenge
'[kWh/a']],Tab_HEV[Energieträger],E$15,Tab_HEV[Nutzungskategorie],Nebenrechnungen!$O25)</f>
        <v>561623.69999999995</v>
      </c>
      <c r="F25" s="90">
        <f>SUMIFS(Tab_HEV[Energiemenge
'[kWh/a']],Tab_HEV[Energieträger],F$15,Tab_HEV[Nutzungskategorie],Nebenrechnungen!$O25)</f>
        <v>202235.9666666667</v>
      </c>
      <c r="G25" s="90">
        <f>SUMIFS(Tab_HEV[Energiemenge
'[kWh/a']],Tab_HEV[Energieträger],G$15,Tab_HEV[Nutzungskategorie],Nebenrechnungen!$O25)</f>
        <v>0</v>
      </c>
      <c r="H25" s="90">
        <f>SUMIFS(Tab_HEV[Energiemenge
'[kWh/a']],Tab_HEV[Energieträger],H$15,Tab_HEV[Nutzungskategorie],Nebenrechnungen!$O25)</f>
        <v>0</v>
      </c>
      <c r="I25" s="90">
        <f>SUMIFS(Tab_HEV[Energiemenge
'[kWh/a']],Tab_HEV[Energieträger],I$15,Tab_HEV[Nutzungskategorie],Nebenrechnungen!$O25)</f>
        <v>200000</v>
      </c>
      <c r="J25" s="90">
        <f>SUMIFS(Tab_HEV[Energiemenge
'[kWh/a']],Tab_HEV[Energieträger],J$15,Tab_HEV[Nutzungskategorie],Nebenrechnungen!$O25)</f>
        <v>0</v>
      </c>
      <c r="K25" s="90">
        <f>SUMIFS(Tab_HEV[Energiemenge
'[kWh/a']],Tab_HEV[Energieträger],K$15,Tab_HEV[Nutzungskategorie],Nebenrechnungen!$O25)</f>
        <v>0</v>
      </c>
      <c r="L25" s="90">
        <f>SUMIFS(Tab_HEV[Energiemenge
'[kWh/a']],Tab_HEV[Energieträger],L$15,Tab_HEV[Nutzungskategorie],Nebenrechnungen!$O25)</f>
        <v>0</v>
      </c>
      <c r="M25" s="42">
        <f t="shared" si="2"/>
        <v>963859.66666666663</v>
      </c>
      <c r="N25" s="18">
        <f>IF(M25=0,0,_xlfn.RANK.EQ(M25,$M$16:$M$38)+COUNTIF($M$16:$M25,$M25)-1)</f>
        <v>6</v>
      </c>
      <c r="O25" t="str">
        <v>Prozesse | Prozesswärme &gt; 200  °C</v>
      </c>
    </row>
    <row r="26" spans="1:15" ht="18">
      <c r="A26" s="9"/>
      <c r="B26" s="118"/>
      <c r="C26" s="49" t="str">
        <f>MID(Nebenrechnungen!O26,SEARCH("|",Nebenrechnungen!O26)+2,LEN(Nebenrechnungen!O26))</f>
        <v>Prozesswärme 0 - 200  °C</v>
      </c>
      <c r="D26" s="90">
        <f>SUMIFS(Tab_HEV[Energiemenge
'[kWh/a']],Tab_HEV[Energieträger],D$15,Tab_HEV[Nutzungskategorie],Nebenrechnungen!$O26)</f>
        <v>0</v>
      </c>
      <c r="E26" s="90">
        <f>SUMIFS(Tab_HEV[Energiemenge
'[kWh/a']],Tab_HEV[Energieträger],E$15,Tab_HEV[Nutzungskategorie],Nebenrechnungen!$O26)</f>
        <v>0</v>
      </c>
      <c r="F26" s="90">
        <f>SUMIFS(Tab_HEV[Energiemenge
'[kWh/a']],Tab_HEV[Energieträger],F$15,Tab_HEV[Nutzungskategorie],Nebenrechnungen!$O26)</f>
        <v>0</v>
      </c>
      <c r="G26" s="90">
        <f>SUMIFS(Tab_HEV[Energiemenge
'[kWh/a']],Tab_HEV[Energieträger],G$15,Tab_HEV[Nutzungskategorie],Nebenrechnungen!$O26)</f>
        <v>0</v>
      </c>
      <c r="H26" s="90">
        <f>SUMIFS(Tab_HEV[Energiemenge
'[kWh/a']],Tab_HEV[Energieträger],H$15,Tab_HEV[Nutzungskategorie],Nebenrechnungen!$O26)</f>
        <v>0</v>
      </c>
      <c r="I26" s="90">
        <f>SUMIFS(Tab_HEV[Energiemenge
'[kWh/a']],Tab_HEV[Energieträger],I$15,Tab_HEV[Nutzungskategorie],Nebenrechnungen!$O26)</f>
        <v>0</v>
      </c>
      <c r="J26" s="90">
        <f>SUMIFS(Tab_HEV[Energiemenge
'[kWh/a']],Tab_HEV[Energieträger],J$15,Tab_HEV[Nutzungskategorie],Nebenrechnungen!$O26)</f>
        <v>0</v>
      </c>
      <c r="K26" s="90">
        <f>SUMIFS(Tab_HEV[Energiemenge
'[kWh/a']],Tab_HEV[Energieträger],K$15,Tab_HEV[Nutzungskategorie],Nebenrechnungen!$O26)</f>
        <v>0</v>
      </c>
      <c r="L26" s="90">
        <f>SUMIFS(Tab_HEV[Energiemenge
'[kWh/a']],Tab_HEV[Energieträger],L$15,Tab_HEV[Nutzungskategorie],Nebenrechnungen!$O26)</f>
        <v>0</v>
      </c>
      <c r="M26" s="43">
        <f t="shared" si="2"/>
        <v>0</v>
      </c>
      <c r="N26" s="18">
        <f>IF(M26=0,0,_xlfn.RANK.EQ(M26,$M$16:$M$38)+COUNTIF($M$16:$M26,$M26)-1)</f>
        <v>0</v>
      </c>
      <c r="O26" t="str">
        <v>Prozesse | Prozesswärme 0 - 200  °C</v>
      </c>
    </row>
    <row r="27" spans="1:15" ht="18">
      <c r="A27" s="9"/>
      <c r="B27" s="118"/>
      <c r="C27" s="49" t="str">
        <f>MID(Nebenrechnungen!O27,SEARCH("|",Nebenrechnungen!O27)+2,LEN(Nebenrechnungen!O27))</f>
        <v>Prozesskälte &lt; 0 °C</v>
      </c>
      <c r="D27" s="90">
        <f>SUMIFS(Tab_HEV[Energiemenge
'[kWh/a']],Tab_HEV[Energieträger],D$15,Tab_HEV[Nutzungskategorie],Nebenrechnungen!$O27)</f>
        <v>187207.9</v>
      </c>
      <c r="E27" s="90">
        <f>SUMIFS(Tab_HEV[Energiemenge
'[kWh/a']],Tab_HEV[Energieträger],E$15,Tab_HEV[Nutzungskategorie],Nebenrechnungen!$O27)</f>
        <v>0</v>
      </c>
      <c r="F27" s="90">
        <f>SUMIFS(Tab_HEV[Energiemenge
'[kWh/a']],Tab_HEV[Energieträger],F$15,Tab_HEV[Nutzungskategorie],Nebenrechnungen!$O27)</f>
        <v>0</v>
      </c>
      <c r="G27" s="90">
        <f>SUMIFS(Tab_HEV[Energiemenge
'[kWh/a']],Tab_HEV[Energieträger],G$15,Tab_HEV[Nutzungskategorie],Nebenrechnungen!$O27)</f>
        <v>0</v>
      </c>
      <c r="H27" s="90">
        <f>SUMIFS(Tab_HEV[Energiemenge
'[kWh/a']],Tab_HEV[Energieträger],H$15,Tab_HEV[Nutzungskategorie],Nebenrechnungen!$O27)</f>
        <v>0</v>
      </c>
      <c r="I27" s="90">
        <f>SUMIFS(Tab_HEV[Energiemenge
'[kWh/a']],Tab_HEV[Energieträger],I$15,Tab_HEV[Nutzungskategorie],Nebenrechnungen!$O27)</f>
        <v>0</v>
      </c>
      <c r="J27" s="90">
        <f>SUMIFS(Tab_HEV[Energiemenge
'[kWh/a']],Tab_HEV[Energieträger],J$15,Tab_HEV[Nutzungskategorie],Nebenrechnungen!$O27)</f>
        <v>0</v>
      </c>
      <c r="K27" s="90">
        <f>SUMIFS(Tab_HEV[Energiemenge
'[kWh/a']],Tab_HEV[Energieträger],K$15,Tab_HEV[Nutzungskategorie],Nebenrechnungen!$O27)</f>
        <v>0</v>
      </c>
      <c r="L27" s="90">
        <f>SUMIFS(Tab_HEV[Energiemenge
'[kWh/a']],Tab_HEV[Energieträger],L$15,Tab_HEV[Nutzungskategorie],Nebenrechnungen!$O27)</f>
        <v>0</v>
      </c>
      <c r="M27" s="43">
        <f t="shared" si="2"/>
        <v>187207.9</v>
      </c>
      <c r="N27" s="18">
        <f>IF(M27=0,0,_xlfn.RANK.EQ(M27,$M$16:$M$38)+COUNTIF($M$16:$M27,$M27)-1)</f>
        <v>12</v>
      </c>
      <c r="O27" t="str">
        <v>Prozesse | Prozesskälte &lt; 0 °C</v>
      </c>
    </row>
    <row r="28" spans="1:15" ht="18">
      <c r="A28" s="9"/>
      <c r="B28" s="118"/>
      <c r="C28" s="49" t="str">
        <f>MID(Nebenrechnungen!O28,SEARCH("|",Nebenrechnungen!O28)+2,LEN(Nebenrechnungen!O28))</f>
        <v>mechanische Arbeit</v>
      </c>
      <c r="D28" s="90">
        <f>SUMIFS(Tab_HEV[Energiemenge
'[kWh/a']],Tab_HEV[Energieträger],D$15,Tab_HEV[Nutzungskategorie],Nebenrechnungen!$O28)</f>
        <v>9585000</v>
      </c>
      <c r="E28" s="90">
        <f>SUMIFS(Tab_HEV[Energiemenge
'[kWh/a']],Tab_HEV[Energieträger],E$15,Tab_HEV[Nutzungskategorie],Nebenrechnungen!$O28)</f>
        <v>0</v>
      </c>
      <c r="F28" s="90">
        <f>SUMIFS(Tab_HEV[Energiemenge
'[kWh/a']],Tab_HEV[Energieträger],F$15,Tab_HEV[Nutzungskategorie],Nebenrechnungen!$O28)</f>
        <v>0</v>
      </c>
      <c r="G28" s="90">
        <f>SUMIFS(Tab_HEV[Energiemenge
'[kWh/a']],Tab_HEV[Energieträger],G$15,Tab_HEV[Nutzungskategorie],Nebenrechnungen!$O28)</f>
        <v>0</v>
      </c>
      <c r="H28" s="90">
        <f>SUMIFS(Tab_HEV[Energiemenge
'[kWh/a']],Tab_HEV[Energieträger],H$15,Tab_HEV[Nutzungskategorie],Nebenrechnungen!$O28)</f>
        <v>0</v>
      </c>
      <c r="I28" s="90">
        <f>SUMIFS(Tab_HEV[Energiemenge
'[kWh/a']],Tab_HEV[Energieträger],I$15,Tab_HEV[Nutzungskategorie],Nebenrechnungen!$O28)</f>
        <v>0</v>
      </c>
      <c r="J28" s="90">
        <f>SUMIFS(Tab_HEV[Energiemenge
'[kWh/a']],Tab_HEV[Energieträger],J$15,Tab_HEV[Nutzungskategorie],Nebenrechnungen!$O28)</f>
        <v>0</v>
      </c>
      <c r="K28" s="90">
        <f>SUMIFS(Tab_HEV[Energiemenge
'[kWh/a']],Tab_HEV[Energieträger],K$15,Tab_HEV[Nutzungskategorie],Nebenrechnungen!$O28)</f>
        <v>0</v>
      </c>
      <c r="L28" s="90">
        <f>SUMIFS(Tab_HEV[Energiemenge
'[kWh/a']],Tab_HEV[Energieträger],L$15,Tab_HEV[Nutzungskategorie],Nebenrechnungen!$O28)</f>
        <v>0</v>
      </c>
      <c r="M28" s="43">
        <f t="shared" si="2"/>
        <v>9585000</v>
      </c>
      <c r="N28" s="18">
        <f>IF(M28=0,0,_xlfn.RANK.EQ(M28,$M$16:$M$38)+COUNTIF($M$16:$M28,$M28)-1)</f>
        <v>1</v>
      </c>
      <c r="O28" t="str">
        <v>Prozesse | mechanische Arbeit</v>
      </c>
    </row>
    <row r="29" spans="1:15" ht="18">
      <c r="A29" s="9"/>
      <c r="B29" s="118"/>
      <c r="C29" s="49" t="str">
        <f>MID(Nebenrechnungen!O29,SEARCH("|",Nebenrechnungen!O29)+2,LEN(Nebenrechnungen!O29))</f>
        <v>innerbetriebliche Transport</v>
      </c>
      <c r="D29" s="90">
        <f>SUMIFS(Tab_HEV[Energiemenge
'[kWh/a']],Tab_HEV[Energieträger],D$15,Tab_HEV[Nutzungskategorie],Nebenrechnungen!$O29)</f>
        <v>2516000</v>
      </c>
      <c r="E29" s="90">
        <f>SUMIFS(Tab_HEV[Energiemenge
'[kWh/a']],Tab_HEV[Energieträger],E$15,Tab_HEV[Nutzungskategorie],Nebenrechnungen!$O29)</f>
        <v>0</v>
      </c>
      <c r="F29" s="90">
        <f>SUMIFS(Tab_HEV[Energiemenge
'[kWh/a']],Tab_HEV[Energieträger],F$15,Tab_HEV[Nutzungskategorie],Nebenrechnungen!$O29)</f>
        <v>0</v>
      </c>
      <c r="G29" s="90">
        <f>SUMIFS(Tab_HEV[Energiemenge
'[kWh/a']],Tab_HEV[Energieträger],G$15,Tab_HEV[Nutzungskategorie],Nebenrechnungen!$O29)</f>
        <v>0</v>
      </c>
      <c r="H29" s="90">
        <f>SUMIFS(Tab_HEV[Energiemenge
'[kWh/a']],Tab_HEV[Energieträger],H$15,Tab_HEV[Nutzungskategorie],Nebenrechnungen!$O29)</f>
        <v>0</v>
      </c>
      <c r="I29" s="90">
        <f>SUMIFS(Tab_HEV[Energiemenge
'[kWh/a']],Tab_HEV[Energieträger],I$15,Tab_HEV[Nutzungskategorie],Nebenrechnungen!$O29)</f>
        <v>0</v>
      </c>
      <c r="J29" s="90">
        <f>SUMIFS(Tab_HEV[Energiemenge
'[kWh/a']],Tab_HEV[Energieträger],J$15,Tab_HEV[Nutzungskategorie],Nebenrechnungen!$O29)</f>
        <v>0</v>
      </c>
      <c r="K29" s="90">
        <f>SUMIFS(Tab_HEV[Energiemenge
'[kWh/a']],Tab_HEV[Energieträger],K$15,Tab_HEV[Nutzungskategorie],Nebenrechnungen!$O29)</f>
        <v>0</v>
      </c>
      <c r="L29" s="90">
        <f>SUMIFS(Tab_HEV[Energiemenge
'[kWh/a']],Tab_HEV[Energieträger],L$15,Tab_HEV[Nutzungskategorie],Nebenrechnungen!$O29)</f>
        <v>0</v>
      </c>
      <c r="M29" s="43">
        <f t="shared" si="2"/>
        <v>2516000</v>
      </c>
      <c r="N29" s="18">
        <f>IF(M29=0,0,_xlfn.RANK.EQ(M29,$M$16:$M$38)+COUNTIF($M$16:$M29,$M29)-1)</f>
        <v>3</v>
      </c>
      <c r="O29" t="str">
        <v>Prozesse | innerbetriebliche Transport</v>
      </c>
    </row>
    <row r="30" spans="1:15" ht="18">
      <c r="A30" s="9"/>
      <c r="B30" s="118"/>
      <c r="C30" s="49" t="str">
        <f>MID(Nebenrechnungen!O30,SEARCH("|",Nebenrechnungen!O30)+2,LEN(Nebenrechnungen!O30))</f>
        <v>Mess- Steuer- und Regeltechnik</v>
      </c>
      <c r="D30" s="90">
        <f>SUMIFS(Tab_HEV[Energiemenge
'[kWh/a']],Tab_HEV[Energieträger],D$15,Tab_HEV[Nutzungskategorie],Nebenrechnungen!$O30)</f>
        <v>200000</v>
      </c>
      <c r="E30" s="90">
        <f>SUMIFS(Tab_HEV[Energiemenge
'[kWh/a']],Tab_HEV[Energieträger],E$15,Tab_HEV[Nutzungskategorie],Nebenrechnungen!$O30)</f>
        <v>0</v>
      </c>
      <c r="F30" s="90">
        <f>SUMIFS(Tab_HEV[Energiemenge
'[kWh/a']],Tab_HEV[Energieträger],F$15,Tab_HEV[Nutzungskategorie],Nebenrechnungen!$O30)</f>
        <v>0</v>
      </c>
      <c r="G30" s="90">
        <f>SUMIFS(Tab_HEV[Energiemenge
'[kWh/a']],Tab_HEV[Energieträger],G$15,Tab_HEV[Nutzungskategorie],Nebenrechnungen!$O30)</f>
        <v>0</v>
      </c>
      <c r="H30" s="90">
        <f>SUMIFS(Tab_HEV[Energiemenge
'[kWh/a']],Tab_HEV[Energieträger],H$15,Tab_HEV[Nutzungskategorie],Nebenrechnungen!$O30)</f>
        <v>0</v>
      </c>
      <c r="I30" s="90">
        <f>SUMIFS(Tab_HEV[Energiemenge
'[kWh/a']],Tab_HEV[Energieträger],I$15,Tab_HEV[Nutzungskategorie],Nebenrechnungen!$O30)</f>
        <v>0</v>
      </c>
      <c r="J30" s="90">
        <f>SUMIFS(Tab_HEV[Energiemenge
'[kWh/a']],Tab_HEV[Energieträger],J$15,Tab_HEV[Nutzungskategorie],Nebenrechnungen!$O30)</f>
        <v>0</v>
      </c>
      <c r="K30" s="90">
        <f>SUMIFS(Tab_HEV[Energiemenge
'[kWh/a']],Tab_HEV[Energieträger],K$15,Tab_HEV[Nutzungskategorie],Nebenrechnungen!$O30)</f>
        <v>0</v>
      </c>
      <c r="L30" s="90">
        <f>SUMIFS(Tab_HEV[Energiemenge
'[kWh/a']],Tab_HEV[Energieträger],L$15,Tab_HEV[Nutzungskategorie],Nebenrechnungen!$O30)</f>
        <v>0</v>
      </c>
      <c r="M30" s="43">
        <f t="shared" si="2"/>
        <v>200000</v>
      </c>
      <c r="N30" s="18">
        <f>IF(M30=0,0,_xlfn.RANK.EQ(M30,$M$16:$M$38)+COUNTIF($M$16:$M30,$M30)-1)</f>
        <v>11</v>
      </c>
      <c r="O30" t="str">
        <v>Prozesse | Mess- Steuer- und Regeltechnik</v>
      </c>
    </row>
    <row r="31" spans="1:15" ht="18">
      <c r="A31" s="9"/>
      <c r="B31" s="118"/>
      <c r="C31" s="49" t="str">
        <f>MID(Nebenrechnungen!O31,SEARCH("|",Nebenrechnungen!O31)+2,LEN(Nebenrechnungen!O31))</f>
        <v>Druckluft</v>
      </c>
      <c r="D31" s="90">
        <f>SUMIFS(Tab_HEV[Energiemenge
'[kWh/a']],Tab_HEV[Energieträger],D$15,Tab_HEV[Nutzungskategorie],Nebenrechnungen!$O31)</f>
        <v>0</v>
      </c>
      <c r="E31" s="90">
        <f>SUMIFS(Tab_HEV[Energiemenge
'[kWh/a']],Tab_HEV[Energieträger],E$15,Tab_HEV[Nutzungskategorie],Nebenrechnungen!$O31)</f>
        <v>0</v>
      </c>
      <c r="F31" s="90">
        <f>SUMIFS(Tab_HEV[Energiemenge
'[kWh/a']],Tab_HEV[Energieträger],F$15,Tab_HEV[Nutzungskategorie],Nebenrechnungen!$O31)</f>
        <v>0</v>
      </c>
      <c r="G31" s="90">
        <f>SUMIFS(Tab_HEV[Energiemenge
'[kWh/a']],Tab_HEV[Energieträger],G$15,Tab_HEV[Nutzungskategorie],Nebenrechnungen!$O31)</f>
        <v>0</v>
      </c>
      <c r="H31" s="90">
        <f>SUMIFS(Tab_HEV[Energiemenge
'[kWh/a']],Tab_HEV[Energieträger],H$15,Tab_HEV[Nutzungskategorie],Nebenrechnungen!$O31)</f>
        <v>0</v>
      </c>
      <c r="I31" s="90">
        <f>SUMIFS(Tab_HEV[Energiemenge
'[kWh/a']],Tab_HEV[Energieträger],I$15,Tab_HEV[Nutzungskategorie],Nebenrechnungen!$O31)</f>
        <v>0</v>
      </c>
      <c r="J31" s="90">
        <f>SUMIFS(Tab_HEV[Energiemenge
'[kWh/a']],Tab_HEV[Energieträger],J$15,Tab_HEV[Nutzungskategorie],Nebenrechnungen!$O31)</f>
        <v>0</v>
      </c>
      <c r="K31" s="90">
        <f>SUMIFS(Tab_HEV[Energiemenge
'[kWh/a']],Tab_HEV[Energieträger],K$15,Tab_HEV[Nutzungskategorie],Nebenrechnungen!$O31)</f>
        <v>0</v>
      </c>
      <c r="L31" s="90">
        <f>SUMIFS(Tab_HEV[Energiemenge
'[kWh/a']],Tab_HEV[Energieträger],L$15,Tab_HEV[Nutzungskategorie],Nebenrechnungen!$O31)</f>
        <v>0</v>
      </c>
      <c r="M31" s="43">
        <f t="shared" si="2"/>
        <v>0</v>
      </c>
      <c r="N31" s="18">
        <f>IF(M31=0,0,_xlfn.RANK.EQ(M31,$M$16:$M$38)+COUNTIF($M$16:$M31,$M31)-1)</f>
        <v>0</v>
      </c>
      <c r="O31" t="str">
        <v>Prozesse | Druckluft</v>
      </c>
    </row>
    <row r="32" spans="1:15" ht="18">
      <c r="A32" s="9"/>
      <c r="B32" s="118"/>
      <c r="C32" s="49" t="str">
        <f>MID(Nebenrechnungen!O32,SEARCH("|",Nebenrechnungen!O32)+2,LEN(Nebenrechnungen!O32))</f>
        <v>Elektrochemie</v>
      </c>
      <c r="D32" s="90">
        <f>SUMIFS(Tab_HEV[Energiemenge
'[kWh/a']],Tab_HEV[Energieträger],D$15,Tab_HEV[Nutzungskategorie],Nebenrechnungen!$O32)</f>
        <v>0</v>
      </c>
      <c r="E32" s="90">
        <f>SUMIFS(Tab_HEV[Energiemenge
'[kWh/a']],Tab_HEV[Energieträger],E$15,Tab_HEV[Nutzungskategorie],Nebenrechnungen!$O32)</f>
        <v>0</v>
      </c>
      <c r="F32" s="90">
        <f>SUMIFS(Tab_HEV[Energiemenge
'[kWh/a']],Tab_HEV[Energieträger],F$15,Tab_HEV[Nutzungskategorie],Nebenrechnungen!$O32)</f>
        <v>0</v>
      </c>
      <c r="G32" s="90">
        <f>SUMIFS(Tab_HEV[Energiemenge
'[kWh/a']],Tab_HEV[Energieträger],G$15,Tab_HEV[Nutzungskategorie],Nebenrechnungen!$O32)</f>
        <v>0</v>
      </c>
      <c r="H32" s="90">
        <f>SUMIFS(Tab_HEV[Energiemenge
'[kWh/a']],Tab_HEV[Energieträger],H$15,Tab_HEV[Nutzungskategorie],Nebenrechnungen!$O32)</f>
        <v>0</v>
      </c>
      <c r="I32" s="90">
        <f>SUMIFS(Tab_HEV[Energiemenge
'[kWh/a']],Tab_HEV[Energieträger],I$15,Tab_HEV[Nutzungskategorie],Nebenrechnungen!$O32)</f>
        <v>0</v>
      </c>
      <c r="J32" s="90">
        <f>SUMIFS(Tab_HEV[Energiemenge
'[kWh/a']],Tab_HEV[Energieträger],J$15,Tab_HEV[Nutzungskategorie],Nebenrechnungen!$O32)</f>
        <v>0</v>
      </c>
      <c r="K32" s="90">
        <f>SUMIFS(Tab_HEV[Energiemenge
'[kWh/a']],Tab_HEV[Energieträger],K$15,Tab_HEV[Nutzungskategorie],Nebenrechnungen!$O32)</f>
        <v>0</v>
      </c>
      <c r="L32" s="90">
        <f>SUMIFS(Tab_HEV[Energiemenge
'[kWh/a']],Tab_HEV[Energieträger],L$15,Tab_HEV[Nutzungskategorie],Nebenrechnungen!$O32)</f>
        <v>0</v>
      </c>
      <c r="M32" s="43">
        <f t="shared" si="2"/>
        <v>0</v>
      </c>
      <c r="N32" s="18">
        <f>IF(M32=0,0,_xlfn.RANK.EQ(M32,$M$16:$M$38)+COUNTIF($M$16:$M32,$M32)-1)</f>
        <v>0</v>
      </c>
      <c r="O32" t="str">
        <v>Prozesse | Elektrochemie</v>
      </c>
    </row>
    <row r="33" spans="1:15" ht="18">
      <c r="A33" s="9"/>
      <c r="B33" s="119"/>
      <c r="C33" s="50" t="str">
        <f>MID(Nebenrechnungen!O33,SEARCH("|",Nebenrechnungen!O33)+2,LEN(Nebenrechnungen!O33))</f>
        <v>sonstige Nutzungen</v>
      </c>
      <c r="D33" s="90">
        <f>SUMIFS(Tab_HEV[Energiemenge
'[kWh/a']],Tab_HEV[Energieträger],D$15,Tab_HEV[Nutzungskategorie],Nebenrechnungen!$O33)</f>
        <v>279000</v>
      </c>
      <c r="E33" s="90">
        <f>SUMIFS(Tab_HEV[Energiemenge
'[kWh/a']],Tab_HEV[Energieträger],E$15,Tab_HEV[Nutzungskategorie],Nebenrechnungen!$O33)</f>
        <v>0</v>
      </c>
      <c r="F33" s="90">
        <f>SUMIFS(Tab_HEV[Energiemenge
'[kWh/a']],Tab_HEV[Energieträger],F$15,Tab_HEV[Nutzungskategorie],Nebenrechnungen!$O33)</f>
        <v>0</v>
      </c>
      <c r="G33" s="90">
        <f>SUMIFS(Tab_HEV[Energiemenge
'[kWh/a']],Tab_HEV[Energieträger],G$15,Tab_HEV[Nutzungskategorie],Nebenrechnungen!$O33)</f>
        <v>0</v>
      </c>
      <c r="H33" s="90">
        <f>SUMIFS(Tab_HEV[Energiemenge
'[kWh/a']],Tab_HEV[Energieträger],H$15,Tab_HEV[Nutzungskategorie],Nebenrechnungen!$O33)</f>
        <v>0</v>
      </c>
      <c r="I33" s="90">
        <f>SUMIFS(Tab_HEV[Energiemenge
'[kWh/a']],Tab_HEV[Energieträger],I$15,Tab_HEV[Nutzungskategorie],Nebenrechnungen!$O33)</f>
        <v>0</v>
      </c>
      <c r="J33" s="90">
        <f>SUMIFS(Tab_HEV[Energiemenge
'[kWh/a']],Tab_HEV[Energieträger],J$15,Tab_HEV[Nutzungskategorie],Nebenrechnungen!$O33)</f>
        <v>0</v>
      </c>
      <c r="K33" s="90">
        <f>SUMIFS(Tab_HEV[Energiemenge
'[kWh/a']],Tab_HEV[Energieträger],K$15,Tab_HEV[Nutzungskategorie],Nebenrechnungen!$O33)</f>
        <v>0</v>
      </c>
      <c r="L33" s="90">
        <f>SUMIFS(Tab_HEV[Energiemenge
'[kWh/a']],Tab_HEV[Energieträger],L$15,Tab_HEV[Nutzungskategorie],Nebenrechnungen!$O33)</f>
        <v>0</v>
      </c>
      <c r="M33" s="44">
        <f t="shared" si="2"/>
        <v>279000</v>
      </c>
      <c r="N33" s="18">
        <f>IF(M33=0,0,_xlfn.RANK.EQ(M33,$M$16:$M$38)+COUNTIF($M$16:$M33,$M33)-1)</f>
        <v>10</v>
      </c>
      <c r="O33" t="str">
        <v>Prozesse | sonstige Nutzungen</v>
      </c>
    </row>
    <row r="34" spans="1:15" ht="18">
      <c r="A34" s="9"/>
      <c r="B34" s="117" t="s">
        <v>14</v>
      </c>
      <c r="C34" s="48" t="str">
        <f>MID(Nebenrechnungen!O34,SEARCH("|",Nebenrechnungen!O34)+2,LEN(Nebenrechnungen!O34))</f>
        <v>Personenverkehr (Dienstleistungen)</v>
      </c>
      <c r="D34" s="90">
        <f>SUMIFS(Tab_HEV[Energiemenge
'[kWh/a']],Tab_HEV[Energieträger],D$15,Tab_HEV[Nutzungskategorie],Nebenrechnungen!$O34)</f>
        <v>0</v>
      </c>
      <c r="E34" s="90">
        <f>SUMIFS(Tab_HEV[Energiemenge
'[kWh/a']],Tab_HEV[Energieträger],E$15,Tab_HEV[Nutzungskategorie],Nebenrechnungen!$O34)</f>
        <v>0</v>
      </c>
      <c r="F34" s="90">
        <f>SUMIFS(Tab_HEV[Energiemenge
'[kWh/a']],Tab_HEV[Energieträger],F$15,Tab_HEV[Nutzungskategorie],Nebenrechnungen!$O34)</f>
        <v>0</v>
      </c>
      <c r="G34" s="90">
        <f>SUMIFS(Tab_HEV[Energiemenge
'[kWh/a']],Tab_HEV[Energieträger],G$15,Tab_HEV[Nutzungskategorie],Nebenrechnungen!$O34)</f>
        <v>0</v>
      </c>
      <c r="H34" s="90">
        <f>SUMIFS(Tab_HEV[Energiemenge
'[kWh/a']],Tab_HEV[Energieträger],H$15,Tab_HEV[Nutzungskategorie],Nebenrechnungen!$O34)</f>
        <v>0</v>
      </c>
      <c r="I34" s="90">
        <f>SUMIFS(Tab_HEV[Energiemenge
'[kWh/a']],Tab_HEV[Energieträger],I$15,Tab_HEV[Nutzungskategorie],Nebenrechnungen!$O34)</f>
        <v>0</v>
      </c>
      <c r="J34" s="90">
        <f>SUMIFS(Tab_HEV[Energiemenge
'[kWh/a']],Tab_HEV[Energieträger],J$15,Tab_HEV[Nutzungskategorie],Nebenrechnungen!$O34)</f>
        <v>0</v>
      </c>
      <c r="K34" s="90">
        <f>SUMIFS(Tab_HEV[Energiemenge
'[kWh/a']],Tab_HEV[Energieträger],K$15,Tab_HEV[Nutzungskategorie],Nebenrechnungen!$O34)</f>
        <v>0</v>
      </c>
      <c r="L34" s="90">
        <f>SUMIFS(Tab_HEV[Energiemenge
'[kWh/a']],Tab_HEV[Energieträger],L$15,Tab_HEV[Nutzungskategorie],Nebenrechnungen!$O34)</f>
        <v>0</v>
      </c>
      <c r="M34" s="42">
        <f t="shared" si="2"/>
        <v>0</v>
      </c>
      <c r="N34" s="18">
        <f>IF(M34=0,0,_xlfn.RANK.EQ(M34,$M$16:$M$38)+COUNTIF($M$16:$M34,$M34)-1)</f>
        <v>0</v>
      </c>
      <c r="O34" t="str">
        <v>Transport | Personenverkehr (Dienstleistungen)</v>
      </c>
    </row>
    <row r="35" spans="1:15" ht="18">
      <c r="A35" s="9"/>
      <c r="B35" s="118"/>
      <c r="C35" s="49" t="str">
        <f>MID(Nebenrechnungen!O35,SEARCH("|",Nebenrechnungen!O35)+2,LEN(Nebenrechnungen!O35))</f>
        <v>Personenverkehr (Betrieb)</v>
      </c>
      <c r="D35" s="90">
        <f>SUMIFS(Tab_HEV[Energiemenge
'[kWh/a']],Tab_HEV[Energieträger],D$15,Tab_HEV[Nutzungskategorie],Nebenrechnungen!$O35)</f>
        <v>0</v>
      </c>
      <c r="E35" s="90">
        <f>SUMIFS(Tab_HEV[Energiemenge
'[kWh/a']],Tab_HEV[Energieträger],E$15,Tab_HEV[Nutzungskategorie],Nebenrechnungen!$O35)</f>
        <v>0</v>
      </c>
      <c r="F35" s="90">
        <f>SUMIFS(Tab_HEV[Energiemenge
'[kWh/a']],Tab_HEV[Energieträger],F$15,Tab_HEV[Nutzungskategorie],Nebenrechnungen!$O35)</f>
        <v>0</v>
      </c>
      <c r="G35" s="90">
        <f>SUMIFS(Tab_HEV[Energiemenge
'[kWh/a']],Tab_HEV[Energieträger],G$15,Tab_HEV[Nutzungskategorie],Nebenrechnungen!$O35)</f>
        <v>703500</v>
      </c>
      <c r="H35" s="90">
        <f>SUMIFS(Tab_HEV[Energiemenge
'[kWh/a']],Tab_HEV[Energieträger],H$15,Tab_HEV[Nutzungskategorie],Nebenrechnungen!$O35)</f>
        <v>0</v>
      </c>
      <c r="I35" s="90">
        <f>SUMIFS(Tab_HEV[Energiemenge
'[kWh/a']],Tab_HEV[Energieträger],I$15,Tab_HEV[Nutzungskategorie],Nebenrechnungen!$O35)</f>
        <v>0</v>
      </c>
      <c r="J35" s="90">
        <f>SUMIFS(Tab_HEV[Energiemenge
'[kWh/a']],Tab_HEV[Energieträger],J$15,Tab_HEV[Nutzungskategorie],Nebenrechnungen!$O35)</f>
        <v>0</v>
      </c>
      <c r="K35" s="90">
        <f>SUMIFS(Tab_HEV[Energiemenge
'[kWh/a']],Tab_HEV[Energieträger],K$15,Tab_HEV[Nutzungskategorie],Nebenrechnungen!$O35)</f>
        <v>0</v>
      </c>
      <c r="L35" s="90">
        <f>SUMIFS(Tab_HEV[Energiemenge
'[kWh/a']],Tab_HEV[Energieträger],L$15,Tab_HEV[Nutzungskategorie],Nebenrechnungen!$O35)</f>
        <v>0</v>
      </c>
      <c r="M35" s="43">
        <f t="shared" si="2"/>
        <v>703500</v>
      </c>
      <c r="N35" s="18">
        <f>IF(M35=0,0,_xlfn.RANK.EQ(M35,$M$16:$M$38)+COUNTIF($M$16:$M35,$M35)-1)</f>
        <v>7</v>
      </c>
      <c r="O35" t="str">
        <v>Transport | Personenverkehr (Betrieb)</v>
      </c>
    </row>
    <row r="36" spans="1:15" ht="18">
      <c r="A36" s="9"/>
      <c r="B36" s="118"/>
      <c r="C36" s="49" t="str">
        <f>MID(Nebenrechnungen!O36,SEARCH("|",Nebenrechnungen!O36)+2,LEN(Nebenrechnungen!O36))</f>
        <v>Personenverkehr (Pendelverkehr)</v>
      </c>
      <c r="D36" s="90">
        <f>SUMIFS(Tab_HEV[Energiemenge
'[kWh/a']],Tab_HEV[Energieträger],D$15,Tab_HEV[Nutzungskategorie],Nebenrechnungen!$O36)</f>
        <v>0</v>
      </c>
      <c r="E36" s="90">
        <f>SUMIFS(Tab_HEV[Energiemenge
'[kWh/a']],Tab_HEV[Energieträger],E$15,Tab_HEV[Nutzungskategorie],Nebenrechnungen!$O36)</f>
        <v>0</v>
      </c>
      <c r="F36" s="90">
        <f>SUMIFS(Tab_HEV[Energiemenge
'[kWh/a']],Tab_HEV[Energieträger],F$15,Tab_HEV[Nutzungskategorie],Nebenrechnungen!$O36)</f>
        <v>0</v>
      </c>
      <c r="G36" s="90">
        <f>SUMIFS(Tab_HEV[Energiemenge
'[kWh/a']],Tab_HEV[Energieträger],G$15,Tab_HEV[Nutzungskategorie],Nebenrechnungen!$O36)</f>
        <v>0</v>
      </c>
      <c r="H36" s="90">
        <f>SUMIFS(Tab_HEV[Energiemenge
'[kWh/a']],Tab_HEV[Energieträger],H$15,Tab_HEV[Nutzungskategorie],Nebenrechnungen!$O36)</f>
        <v>0</v>
      </c>
      <c r="I36" s="90">
        <f>SUMIFS(Tab_HEV[Energiemenge
'[kWh/a']],Tab_HEV[Energieträger],I$15,Tab_HEV[Nutzungskategorie],Nebenrechnungen!$O36)</f>
        <v>0</v>
      </c>
      <c r="J36" s="90">
        <f>SUMIFS(Tab_HEV[Energiemenge
'[kWh/a']],Tab_HEV[Energieträger],J$15,Tab_HEV[Nutzungskategorie],Nebenrechnungen!$O36)</f>
        <v>0</v>
      </c>
      <c r="K36" s="90">
        <f>SUMIFS(Tab_HEV[Energiemenge
'[kWh/a']],Tab_HEV[Energieträger],K$15,Tab_HEV[Nutzungskategorie],Nebenrechnungen!$O36)</f>
        <v>0</v>
      </c>
      <c r="L36" s="90">
        <f>SUMIFS(Tab_HEV[Energiemenge
'[kWh/a']],Tab_HEV[Energieträger],L$15,Tab_HEV[Nutzungskategorie],Nebenrechnungen!$O36)</f>
        <v>0</v>
      </c>
      <c r="M36" s="43">
        <f t="shared" si="2"/>
        <v>0</v>
      </c>
      <c r="N36" s="18">
        <f>IF(M36=0,0,_xlfn.RANK.EQ(M36,$M$16:$M$38)+COUNTIF($M$16:$M36,$M36)-1)</f>
        <v>0</v>
      </c>
      <c r="O36" t="str">
        <v>Transport | Personenverkehr (Pendelverkehr)</v>
      </c>
    </row>
    <row r="37" spans="1:15" ht="18">
      <c r="A37" s="9"/>
      <c r="B37" s="118"/>
      <c r="C37" s="49" t="str">
        <f>MID(Nebenrechnungen!O37,SEARCH("|",Nebenrechnungen!O37)+2,LEN(Nebenrechnungen!O37))</f>
        <v>Güterverkehr</v>
      </c>
      <c r="D37" s="90">
        <f>SUMIFS(Tab_HEV[Energiemenge
'[kWh/a']],Tab_HEV[Energieträger],D$15,Tab_HEV[Nutzungskategorie],Nebenrechnungen!$O37)</f>
        <v>0</v>
      </c>
      <c r="E37" s="90">
        <f>SUMIFS(Tab_HEV[Energiemenge
'[kWh/a']],Tab_HEV[Energieträger],E$15,Tab_HEV[Nutzungskategorie],Nebenrechnungen!$O37)</f>
        <v>0</v>
      </c>
      <c r="F37" s="90">
        <f>SUMIFS(Tab_HEV[Energiemenge
'[kWh/a']],Tab_HEV[Energieträger],F$15,Tab_HEV[Nutzungskategorie],Nebenrechnungen!$O37)</f>
        <v>0</v>
      </c>
      <c r="G37" s="90">
        <f>SUMIFS(Tab_HEV[Energiemenge
'[kWh/a']],Tab_HEV[Energieträger],G$15,Tab_HEV[Nutzungskategorie],Nebenrechnungen!$O37)</f>
        <v>4281035</v>
      </c>
      <c r="H37" s="90">
        <f>SUMIFS(Tab_HEV[Energiemenge
'[kWh/a']],Tab_HEV[Energieträger],H$15,Tab_HEV[Nutzungskategorie],Nebenrechnungen!$O37)</f>
        <v>0</v>
      </c>
      <c r="I37" s="90">
        <f>SUMIFS(Tab_HEV[Energiemenge
'[kWh/a']],Tab_HEV[Energieträger],I$15,Tab_HEV[Nutzungskategorie],Nebenrechnungen!$O37)</f>
        <v>0</v>
      </c>
      <c r="J37" s="90">
        <f>SUMIFS(Tab_HEV[Energiemenge
'[kWh/a']],Tab_HEV[Energieträger],J$15,Tab_HEV[Nutzungskategorie],Nebenrechnungen!$O37)</f>
        <v>0</v>
      </c>
      <c r="K37" s="90">
        <f>SUMIFS(Tab_HEV[Energiemenge
'[kWh/a']],Tab_HEV[Energieträger],K$15,Tab_HEV[Nutzungskategorie],Nebenrechnungen!$O37)</f>
        <v>0</v>
      </c>
      <c r="L37" s="90">
        <f>SUMIFS(Tab_HEV[Energiemenge
'[kWh/a']],Tab_HEV[Energieträger],L$15,Tab_HEV[Nutzungskategorie],Nebenrechnungen!$O37)</f>
        <v>0</v>
      </c>
      <c r="M37" s="43">
        <f t="shared" si="2"/>
        <v>4281035</v>
      </c>
      <c r="N37" s="18">
        <f>IF(M37=0,0,_xlfn.RANK.EQ(M37,$M$16:$M$38)+COUNTIF($M$16:$M37,$M37)-1)</f>
        <v>2</v>
      </c>
      <c r="O37" t="str">
        <v>Transport | Güterverkehr</v>
      </c>
    </row>
    <row r="38" spans="1:15" ht="18">
      <c r="A38" s="9"/>
      <c r="B38" s="119"/>
      <c r="C38" s="50" t="str">
        <f>MID(Nebenrechnungen!O38,SEARCH("|",Nebenrechnungen!O38)+2,LEN(Nebenrechnungen!O38))</f>
        <v>sonstige Nutzungen</v>
      </c>
      <c r="D38" s="90">
        <f>SUMIFS(Tab_HEV[Energiemenge
'[kWh/a']],Tab_HEV[Energieträger],D$15,Tab_HEV[Nutzungskategorie],Nebenrechnungen!$O38)</f>
        <v>0</v>
      </c>
      <c r="E38" s="90">
        <f>SUMIFS(Tab_HEV[Energiemenge
'[kWh/a']],Tab_HEV[Energieträger],E$15,Tab_HEV[Nutzungskategorie],Nebenrechnungen!$O38)</f>
        <v>0</v>
      </c>
      <c r="F38" s="90">
        <f>SUMIFS(Tab_HEV[Energiemenge
'[kWh/a']],Tab_HEV[Energieträger],F$15,Tab_HEV[Nutzungskategorie],Nebenrechnungen!$O38)</f>
        <v>0</v>
      </c>
      <c r="G38" s="90">
        <f>SUMIFS(Tab_HEV[Energiemenge
'[kWh/a']],Tab_HEV[Energieträger],G$15,Tab_HEV[Nutzungskategorie],Nebenrechnungen!$O38)</f>
        <v>0</v>
      </c>
      <c r="H38" s="90">
        <f>SUMIFS(Tab_HEV[Energiemenge
'[kWh/a']],Tab_HEV[Energieträger],H$15,Tab_HEV[Nutzungskategorie],Nebenrechnungen!$O38)</f>
        <v>0</v>
      </c>
      <c r="I38" s="90">
        <f>SUMIFS(Tab_HEV[Energiemenge
'[kWh/a']],Tab_HEV[Energieträger],I$15,Tab_HEV[Nutzungskategorie],Nebenrechnungen!$O38)</f>
        <v>0</v>
      </c>
      <c r="J38" s="90">
        <f>SUMIFS(Tab_HEV[Energiemenge
'[kWh/a']],Tab_HEV[Energieträger],J$15,Tab_HEV[Nutzungskategorie],Nebenrechnungen!$O38)</f>
        <v>0</v>
      </c>
      <c r="K38" s="90">
        <f>SUMIFS(Tab_HEV[Energiemenge
'[kWh/a']],Tab_HEV[Energieträger],K$15,Tab_HEV[Nutzungskategorie],Nebenrechnungen!$O38)</f>
        <v>0</v>
      </c>
      <c r="L38" s="90">
        <f>SUMIFS(Tab_HEV[Energiemenge
'[kWh/a']],Tab_HEV[Energieträger],L$15,Tab_HEV[Nutzungskategorie],Nebenrechnungen!$O38)</f>
        <v>0</v>
      </c>
      <c r="M38" s="44">
        <f t="shared" si="2"/>
        <v>0</v>
      </c>
      <c r="N38" s="18">
        <f>IF(M38=0,0,_xlfn.RANK.EQ(M38,$M$16:$M$38)+COUNTIF($M$16:$M38,$M38)-1)</f>
        <v>0</v>
      </c>
      <c r="O38" t="str">
        <v>Transport | sonstige Nutzungen</v>
      </c>
    </row>
    <row r="39" spans="1:15" ht="18">
      <c r="A39" s="9"/>
      <c r="B39" s="46"/>
      <c r="C39" s="47" t="s">
        <v>430</v>
      </c>
      <c r="D39" s="45">
        <f>SUM(D16:D38)</f>
        <v>15096707.9</v>
      </c>
      <c r="E39" s="45">
        <f t="shared" ref="E39:L39" si="3">SUM(E16:E38)</f>
        <v>2772123.7</v>
      </c>
      <c r="F39" s="45">
        <f t="shared" si="3"/>
        <v>230235.9666666667</v>
      </c>
      <c r="G39" s="45">
        <f t="shared" si="3"/>
        <v>4984535</v>
      </c>
      <c r="H39" s="45">
        <f t="shared" si="3"/>
        <v>0</v>
      </c>
      <c r="I39" s="45">
        <f t="shared" si="3"/>
        <v>200000</v>
      </c>
      <c r="J39" s="45">
        <f t="shared" si="3"/>
        <v>0</v>
      </c>
      <c r="K39" s="45">
        <f t="shared" si="3"/>
        <v>0</v>
      </c>
      <c r="L39" s="45">
        <f t="shared" si="3"/>
        <v>0</v>
      </c>
      <c r="M39" s="45">
        <f t="shared" si="2"/>
        <v>23283602.566666666</v>
      </c>
    </row>
    <row r="41" spans="1:15" ht="18">
      <c r="A41" s="9" t="s">
        <v>434</v>
      </c>
      <c r="B41" s="9"/>
      <c r="C41" s="9"/>
      <c r="D41" s="9"/>
      <c r="E41" s="9"/>
      <c r="F41" s="9"/>
      <c r="G41" s="9"/>
    </row>
    <row r="42" spans="1:15" ht="15.75">
      <c r="A42" s="19" t="s">
        <v>433</v>
      </c>
      <c r="B42" s="19"/>
      <c r="C42" s="19"/>
      <c r="D42" s="19"/>
      <c r="E42" s="19"/>
      <c r="F42" s="19">
        <f>IF(G43&gt;10^9,3,IF(G43&gt;10^6,2,1))</f>
        <v>2</v>
      </c>
      <c r="G42" s="19"/>
    </row>
    <row r="43" spans="1:15">
      <c r="A43">
        <v>1</v>
      </c>
      <c r="B43">
        <f>IFERROR(MATCH($A43,$N$16:$N$38,0),0)</f>
        <v>13</v>
      </c>
      <c r="C43" t="str" cm="1">
        <f t="array" ref="C43">IF($B43=0,"",INDEX($C$16:$C$38,$B43))</f>
        <v>mechanische Arbeit</v>
      </c>
      <c r="D43" t="str" cm="1">
        <f t="array" ref="D43">IF($B43=0,"",MID(INDEX(_xlfn.ANCHORARRAY($O$16),$B43),1,SEARCH(" |",INDEX(_xlfn.ANCHORARRAY($O$16),$B43))))</f>
        <v xml:space="preserve">Prozesse </v>
      </c>
      <c r="E43" s="88">
        <f>IFERROR(IF($F$42=3,G43/10^6,IF($F$42=2,G43/10^3,G43)),0)</f>
        <v>9585</v>
      </c>
      <c r="F43" t="str">
        <f>IF($F$42=3,"GWh",IF($F$42=2,"MWh","kWh"))</f>
        <v>MWh</v>
      </c>
      <c r="G43" s="18" cm="1">
        <f t="array" ref="G43">IF($B43=0,"",INDEX($M$16:$M$38,$B43))</f>
        <v>9585000</v>
      </c>
      <c r="H43" t="str">
        <f>IF(D43=0,"","kWh")</f>
        <v>kWh</v>
      </c>
    </row>
    <row r="44" spans="1:15">
      <c r="A44">
        <v>2</v>
      </c>
      <c r="B44">
        <f t="shared" ref="B44:B47" si="4">IFERROR(MATCH($A44,$N$16:$N$38,0),0)</f>
        <v>22</v>
      </c>
      <c r="C44" t="str" cm="1">
        <f t="array" ref="C44">IF($B44=0,"",INDEX($C$16:$C$38,$B44))</f>
        <v>Güterverkehr</v>
      </c>
      <c r="D44" t="str" cm="1">
        <f t="array" ref="D44">IF($B44=0,"",MID(INDEX(_xlfn.ANCHORARRAY($O$16),$B44),1,SEARCH(" |",INDEX(_xlfn.ANCHORARRAY($O$16),$B44))))</f>
        <v xml:space="preserve">Transport </v>
      </c>
      <c r="E44" s="88">
        <f t="shared" ref="E44:E47" si="5">IFERROR(IF($F$42=3,G44/10^6,IF($F$42=2,G44/10^3,G44)),0)</f>
        <v>4281.0349999999999</v>
      </c>
      <c r="F44" t="str">
        <f t="shared" ref="F44:F47" si="6">IF($F$42=3,"GWh",IF($F$42=2,"MWh","kWh"))</f>
        <v>MWh</v>
      </c>
      <c r="G44" s="18" cm="1">
        <f t="array" ref="G44">IF($B44=0,"",INDEX($M$16:$M$38,$B44))</f>
        <v>4281035</v>
      </c>
      <c r="H44" t="str">
        <f>IF(D44=0,"","kWh")</f>
        <v>kWh</v>
      </c>
    </row>
    <row r="45" spans="1:15">
      <c r="A45">
        <v>3</v>
      </c>
      <c r="B45">
        <f t="shared" si="4"/>
        <v>14</v>
      </c>
      <c r="C45" t="str" cm="1">
        <f t="array" ref="C45">IF($B45=0,"",INDEX($C$16:$C$38,$B45))</f>
        <v>innerbetriebliche Transport</v>
      </c>
      <c r="D45" t="str" cm="1">
        <f t="array" ref="D45">IF($B45=0,"",MID(INDEX(_xlfn.ANCHORARRAY($O$16),$B45),1,SEARCH(" |",INDEX(_xlfn.ANCHORARRAY($O$16),$B45))))</f>
        <v xml:space="preserve">Prozesse </v>
      </c>
      <c r="E45" s="88">
        <f t="shared" si="5"/>
        <v>2516</v>
      </c>
      <c r="F45" t="str">
        <f t="shared" si="6"/>
        <v>MWh</v>
      </c>
      <c r="G45" s="18" cm="1">
        <f t="array" ref="G45">IF($B45=0,"",INDEX($M$16:$M$38,$B45))</f>
        <v>2516000</v>
      </c>
      <c r="H45" t="str">
        <f>IF(D45=0,"","kWh")</f>
        <v>kWh</v>
      </c>
    </row>
    <row r="46" spans="1:15">
      <c r="A46">
        <v>4</v>
      </c>
      <c r="B46">
        <f t="shared" si="4"/>
        <v>1</v>
      </c>
      <c r="C46" t="str" cm="1">
        <f t="array" ref="C46">IF($B46=0,"",INDEX($C$16:$C$38,$B46))</f>
        <v>Raumwärme</v>
      </c>
      <c r="D46" t="str" cm="1">
        <f t="array" ref="D46">IF($B46=0,"",MID(INDEX(_xlfn.ANCHORARRAY($O$16),$B46),1,SEARCH(" |",INDEX(_xlfn.ANCHORARRAY($O$16),$B46))))</f>
        <v xml:space="preserve">Gebäude </v>
      </c>
      <c r="E46" s="88">
        <f t="shared" si="5"/>
        <v>2190</v>
      </c>
      <c r="F46" t="str">
        <f t="shared" si="6"/>
        <v>MWh</v>
      </c>
      <c r="G46" s="18" cm="1">
        <f t="array" ref="G46">IF($B46=0,"",INDEX($M$16:$M$38,$B46))</f>
        <v>2190000</v>
      </c>
      <c r="H46" t="str">
        <f>IF(D46=0,"","kWh")</f>
        <v>kWh</v>
      </c>
    </row>
    <row r="47" spans="1:15">
      <c r="A47">
        <v>5</v>
      </c>
      <c r="B47">
        <f t="shared" si="4"/>
        <v>5</v>
      </c>
      <c r="C47" t="str" cm="1">
        <f t="array" ref="C47">IF($B47=0,"",INDEX($C$16:$C$38,$B47))</f>
        <v>Beleuchtung</v>
      </c>
      <c r="D47" t="str" cm="1">
        <f t="array" ref="D47">IF($B47=0,"",MID(INDEX(_xlfn.ANCHORARRAY($O$16),$B47),1,SEARCH(" |",INDEX(_xlfn.ANCHORARRAY($O$16),$B47))))</f>
        <v xml:space="preserve">Gebäude </v>
      </c>
      <c r="E47" s="88">
        <f t="shared" si="5"/>
        <v>1316.42</v>
      </c>
      <c r="F47" t="str">
        <f t="shared" si="6"/>
        <v>MWh</v>
      </c>
      <c r="G47" s="18" cm="1">
        <f t="array" ref="G47">IF($B47=0,"",INDEX($M$16:$M$38,$B47))</f>
        <v>1316420</v>
      </c>
      <c r="H47" t="str">
        <f>IF(D47=0,"","kWh")</f>
        <v>kWh</v>
      </c>
    </row>
    <row r="49" spans="1:9" ht="18">
      <c r="A49" s="9" t="s">
        <v>15</v>
      </c>
      <c r="B49" s="9"/>
      <c r="C49" s="9"/>
      <c r="D49" s="9"/>
      <c r="E49" s="9"/>
      <c r="F49" s="9"/>
      <c r="G49" s="9"/>
      <c r="H49" s="9"/>
    </row>
    <row r="50" spans="1:9" ht="57">
      <c r="C50" s="35"/>
      <c r="D50" s="38" t="str">
        <f>Tab_LKZGeb[[#Headers],[Kennzahl
Raumwärme
'[kWh/m²a']]]</f>
        <v>Kennzahl
Raumwärme
[kWh/m²a]</v>
      </c>
      <c r="E50" s="38" t="str">
        <f>Tab_LKZGeb[[#Headers],[Kennzahl
Raumkühlung
'[kWh/m²a']]]</f>
        <v>Kennzahl
Raumkühlung
[kWh/m²a]</v>
      </c>
      <c r="F50" s="38" t="str">
        <f>Tab_LKZGeb[[#Headers],[Kennzahl
Residuum
'[kWh/m²a']]]</f>
        <v>Kennzahl
Residuum
[kWh/m²a]</v>
      </c>
      <c r="G50" s="38" t="s">
        <v>465</v>
      </c>
      <c r="H50" s="38" t="s">
        <v>458</v>
      </c>
      <c r="I50" t="s">
        <v>432</v>
      </c>
    </row>
    <row r="51" spans="1:9">
      <c r="C51" s="35" t="str" cm="1">
        <f t="array" ref="C51:C62">DD_GebKat</f>
        <v>Bürobegäude</v>
      </c>
      <c r="D51" s="36">
        <f>IFERROR(SUMIFS(Tab_LKZGeb[Energieverbrauch
Raumwärme
'[kWh/a']],Tab_LKZGeb[Energieverbrauch
Raumwärme
'[kWh/a']],"&lt;&gt;"&amp;0,Tab_LKZGeb[Gebäudekategorie],$C51)/SUMIFS(Tab_LKZGeb[beheizte
Nutzfläche
'[m²']],Tab_LKZGeb[beheizte
Nutzfläche
'[m²']],"&lt;&gt;&amp;"&amp;0,Tab_LKZGeb[Gebäudekategorie],$C51),0)</f>
        <v>80</v>
      </c>
      <c r="E51" s="36">
        <f>IFERROR(SUMIFS(Tab_LKZGeb[Energieverbrauch
Raumkühlung
'[kWh/a']],Tab_LKZGeb[Energieverbrauch
Raumkühlung
'[kWh/a']],"&lt;&gt;"&amp;0,Tab_LKZGeb[Gebäudekategorie],$C51)/SUMIFS(Tab_LKZGeb[gekühlte
Nutzfläche
'[m²']],Tab_LKZGeb[gekühlte
Nutzfläche
'[m²']],"&lt;&gt;&amp;"&amp;0,Tab_LKZGeb[Gebäudekategorie],$C51),0)</f>
        <v>14.285714285714286</v>
      </c>
      <c r="F51" s="36">
        <f>IFERROR(SUMIFS(Tab_LKZGeb[Energieverbrauch
Residuum
'[kWh/a']],Tab_LKZGeb[Energieverbrauch
Residuum
'[kWh/a']],"&lt;&gt;"&amp;0,Tab_LKZGeb[Gebäudekategorie],$C51)/SUMIFS(Tab_LKZGeb[Nutzfläche
gesamt
'[m²']],Tab_LKZGeb[Nutzfläche
gesamt
'[m²']],"&lt;&gt;"&amp;0,Tab_LKZGeb[Gebäudekategorie],$C51),0)</f>
        <v>21.428571428571427</v>
      </c>
      <c r="G51" s="18">
        <f>IFERROR(SUM(SUMIFS(Tab_LKZGeb[Energieverbrauch
Raumwärme
'[kWh/a']],Tab_LKZGeb[Energieverbrauch
Raumwärme
'[kWh/a']],"&lt;&gt;"&amp;0,Tab_LKZGeb[Gebäudekategorie],$C51),SUMIFS(Tab_LKZGeb[Energieverbrauch
Raumkühlung
'[kWh/a']],Tab_LKZGeb[Energieverbrauch
Raumkühlung
'[kWh/a']],"&lt;&gt;"&amp;0,Tab_LKZGeb[Gebäudekategorie],$C51),SUMIFS(Tab_LKZGeb[Energieverbrauch
Residuum
'[kWh/a']],Tab_LKZGeb[Energieverbrauch
Residuum
'[kWh/a']],"&lt;&gt;"&amp;0,Tab_LKZGeb[Gebäudekategorie],$C51))/10^3,0)</f>
        <v>405</v>
      </c>
      <c r="H51" s="37">
        <f>IFERROR(SUM(SUMIFS(Tab_LKZGeb[Energieverbrauch
Raumwärme
'[kWh/a']],Tab_LKZGeb[Energieverbrauch
Raumwärme
'[kWh/a']],"&lt;&gt;"&amp;0,Tab_LKZGeb[Gebäudekategorie],$C51),SUMIFS(Tab_LKZGeb[Energieverbrauch
Raumkühlung
'[kWh/a']],Tab_LKZGeb[Energieverbrauch
Raumkühlung
'[kWh/a']],"&lt;&gt;"&amp;0,Tab_LKZGeb[Gebäudekategorie],$C51),SUMIFS(Tab_LKZGeb[Energieverbrauch
Residuum
'[kWh/a']],Tab_LKZGeb[Energieverbrauch
Residuum
'[kWh/a']],"&lt;&gt;"&amp;0,Tab_LKZGeb[Gebäudekategorie],$C51))/SUMIFS(Tab_LKZGeb[Nutzfläche
gesamt
'[m²']],Tab_LKZGeb[Nutzfläche
gesamt
'[m²']],"&lt;&gt;"&amp;0,Tab_LKZGeb[Gebäudekategorie],$C51),0)</f>
        <v>115.71428571428571</v>
      </c>
      <c r="I51" s="18">
        <f>IF(G51=0,0,_xlfn.RANK.EQ(G51,$G$51:$G$62)+COUNTIF($G$51:$G51,$G51)-1)</f>
        <v>2</v>
      </c>
    </row>
    <row r="52" spans="1:9">
      <c r="C52" s="35" t="str">
        <v>Bildungseinrichtung</v>
      </c>
      <c r="D52" s="36">
        <f>IFERROR(SUMIFS(Tab_LKZGeb[Energieverbrauch
Raumwärme
'[kWh/a']],Tab_LKZGeb[Energieverbrauch
Raumwärme
'[kWh/a']],"&lt;&gt;"&amp;0,Tab_LKZGeb[Gebäudekategorie],$C52)/SUMIFS(Tab_LKZGeb[beheizte
Nutzfläche
'[m²']],Tab_LKZGeb[beheizte
Nutzfläche
'[m²']],"&lt;&gt;&amp;"&amp;0,Tab_LKZGeb[Gebäudekategorie],$C52),0)</f>
        <v>0</v>
      </c>
      <c r="E52" s="36">
        <f>IFERROR(SUMIFS(Tab_LKZGeb[Energieverbrauch
Raumkühlung
'[kWh/a']],Tab_LKZGeb[Energieverbrauch
Raumkühlung
'[kWh/a']],"&lt;&gt;"&amp;0,Tab_LKZGeb[Gebäudekategorie],$C52)/SUMIFS(Tab_LKZGeb[gekühlte
Nutzfläche
'[m²']],Tab_LKZGeb[gekühlte
Nutzfläche
'[m²']],"&lt;&gt;&amp;"&amp;0,Tab_LKZGeb[Gebäudekategorie],$C52),0)</f>
        <v>0</v>
      </c>
      <c r="F52" s="36">
        <f>IFERROR(SUMIFS(Tab_LKZGeb[Energieverbrauch
Residuum
'[kWh/a']],Tab_LKZGeb[Energieverbrauch
Residuum
'[kWh/a']],"&lt;&gt;"&amp;0,Tab_LKZGeb[Gebäudekategorie],$C52)/SUMIFS(Tab_LKZGeb[Nutzfläche
gesamt
'[m²']],Tab_LKZGeb[Nutzfläche
gesamt
'[m²']],"&lt;&gt;"&amp;0,Tab_LKZGeb[Gebäudekategorie],$C52),0)</f>
        <v>0</v>
      </c>
      <c r="G52" s="18">
        <f>IFERROR(SUM(SUMIFS(Tab_LKZGeb[Energieverbrauch
Raumwärme
'[kWh/a']],Tab_LKZGeb[Energieverbrauch
Raumwärme
'[kWh/a']],"&lt;&gt;"&amp;0,Tab_LKZGeb[Gebäudekategorie],$C52),SUMIFS(Tab_LKZGeb[Energieverbrauch
Raumkühlung
'[kWh/a']],Tab_LKZGeb[Energieverbrauch
Raumkühlung
'[kWh/a']],"&lt;&gt;"&amp;0,Tab_LKZGeb[Gebäudekategorie],$C52),SUMIFS(Tab_LKZGeb[Energieverbrauch
Residuum
'[kWh/a']],Tab_LKZGeb[Energieverbrauch
Residuum
'[kWh/a']],"&lt;&gt;"&amp;0,Tab_LKZGeb[Gebäudekategorie],$C52))/10^3,0)</f>
        <v>0</v>
      </c>
      <c r="H52" s="37">
        <f>IFERROR(SUM(SUMIFS(Tab_LKZGeb[Energieverbrauch
Raumwärme
'[kWh/a']],Tab_LKZGeb[Energieverbrauch
Raumwärme
'[kWh/a']],"&lt;&gt;"&amp;0,Tab_LKZGeb[Gebäudekategorie],$C52),SUMIFS(Tab_LKZGeb[Energieverbrauch
Raumkühlung
'[kWh/a']],Tab_LKZGeb[Energieverbrauch
Raumkühlung
'[kWh/a']],"&lt;&gt;"&amp;0,Tab_LKZGeb[Gebäudekategorie],$C52),SUMIFS(Tab_LKZGeb[Energieverbrauch
Residuum
'[kWh/a']],Tab_LKZGeb[Energieverbrauch
Residuum
'[kWh/a']],"&lt;&gt;"&amp;0,Tab_LKZGeb[Gebäudekategorie],$C52))/SUMIFS(Tab_LKZGeb[Nutzfläche
gesamt
'[m²']],Tab_LKZGeb[Nutzfläche
gesamt
'[m²']],"&lt;&gt;"&amp;0,Tab_LKZGeb[Gebäudekategorie],$C52),0)</f>
        <v>0</v>
      </c>
      <c r="I52" s="18">
        <f>IF(G52=0,0,_xlfn.RANK.EQ(G52,$G$51:$G$62)+COUNTIF($G$51:$G52,$G52)-1)</f>
        <v>0</v>
      </c>
    </row>
    <row r="53" spans="1:9">
      <c r="C53" s="35" t="str">
        <v>Krankenhaus</v>
      </c>
      <c r="D53" s="36">
        <f>IFERROR(SUMIFS(Tab_LKZGeb[Energieverbrauch
Raumwärme
'[kWh/a']],Tab_LKZGeb[Energieverbrauch
Raumwärme
'[kWh/a']],"&lt;&gt;"&amp;0,Tab_LKZGeb[Gebäudekategorie],$C53)/SUMIFS(Tab_LKZGeb[beheizte
Nutzfläche
'[m²']],Tab_LKZGeb[beheizte
Nutzfläche
'[m²']],"&lt;&gt;&amp;"&amp;0,Tab_LKZGeb[Gebäudekategorie],$C53),0)</f>
        <v>0</v>
      </c>
      <c r="E53" s="36">
        <f>IFERROR(SUMIFS(Tab_LKZGeb[Energieverbrauch
Raumkühlung
'[kWh/a']],Tab_LKZGeb[Energieverbrauch
Raumkühlung
'[kWh/a']],"&lt;&gt;"&amp;0,Tab_LKZGeb[Gebäudekategorie],$C53)/SUMIFS(Tab_LKZGeb[gekühlte
Nutzfläche
'[m²']],Tab_LKZGeb[gekühlte
Nutzfläche
'[m²']],"&lt;&gt;&amp;"&amp;0,Tab_LKZGeb[Gebäudekategorie],$C53),0)</f>
        <v>0</v>
      </c>
      <c r="F53" s="36">
        <f>IFERROR(SUMIFS(Tab_LKZGeb[Energieverbrauch
Residuum
'[kWh/a']],Tab_LKZGeb[Energieverbrauch
Residuum
'[kWh/a']],"&lt;&gt;"&amp;0,Tab_LKZGeb[Gebäudekategorie],$C53)/SUMIFS(Tab_LKZGeb[Nutzfläche
gesamt
'[m²']],Tab_LKZGeb[Nutzfläche
gesamt
'[m²']],"&lt;&gt;"&amp;0,Tab_LKZGeb[Gebäudekategorie],$C53),0)</f>
        <v>0</v>
      </c>
      <c r="G53" s="18">
        <f>IFERROR(SUM(SUMIFS(Tab_LKZGeb[Energieverbrauch
Raumwärme
'[kWh/a']],Tab_LKZGeb[Energieverbrauch
Raumwärme
'[kWh/a']],"&lt;&gt;"&amp;0,Tab_LKZGeb[Gebäudekategorie],$C53),SUMIFS(Tab_LKZGeb[Energieverbrauch
Raumkühlung
'[kWh/a']],Tab_LKZGeb[Energieverbrauch
Raumkühlung
'[kWh/a']],"&lt;&gt;"&amp;0,Tab_LKZGeb[Gebäudekategorie],$C53),SUMIFS(Tab_LKZGeb[Energieverbrauch
Residuum
'[kWh/a']],Tab_LKZGeb[Energieverbrauch
Residuum
'[kWh/a']],"&lt;&gt;"&amp;0,Tab_LKZGeb[Gebäudekategorie],$C53))/10^3,0)</f>
        <v>0</v>
      </c>
      <c r="H53" s="37">
        <f>IFERROR(SUM(SUMIFS(Tab_LKZGeb[Energieverbrauch
Raumwärme
'[kWh/a']],Tab_LKZGeb[Energieverbrauch
Raumwärme
'[kWh/a']],"&lt;&gt;"&amp;0,Tab_LKZGeb[Gebäudekategorie],$C53),SUMIFS(Tab_LKZGeb[Energieverbrauch
Raumkühlung
'[kWh/a']],Tab_LKZGeb[Energieverbrauch
Raumkühlung
'[kWh/a']],"&lt;&gt;"&amp;0,Tab_LKZGeb[Gebäudekategorie],$C53),SUMIFS(Tab_LKZGeb[Energieverbrauch
Residuum
'[kWh/a']],Tab_LKZGeb[Energieverbrauch
Residuum
'[kWh/a']],"&lt;&gt;"&amp;0,Tab_LKZGeb[Gebäudekategorie],$C53))/SUMIFS(Tab_LKZGeb[Nutzfläche
gesamt
'[m²']],Tab_LKZGeb[Nutzfläche
gesamt
'[m²']],"&lt;&gt;"&amp;0,Tab_LKZGeb[Gebäudekategorie],$C53),0)</f>
        <v>0</v>
      </c>
      <c r="I53" s="18">
        <f>IF(G53=0,0,_xlfn.RANK.EQ(G53,$G$51:$G$62)+COUNTIF($G$51:$G53,$G53)-1)</f>
        <v>0</v>
      </c>
    </row>
    <row r="54" spans="1:9">
      <c r="C54" s="35" t="str">
        <v>Heim</v>
      </c>
      <c r="D54" s="36">
        <f>IFERROR(SUMIFS(Tab_LKZGeb[Energieverbrauch
Raumwärme
'[kWh/a']],Tab_LKZGeb[Energieverbrauch
Raumwärme
'[kWh/a']],"&lt;&gt;"&amp;0,Tab_LKZGeb[Gebäudekategorie],$C54)/SUMIFS(Tab_LKZGeb[beheizte
Nutzfläche
'[m²']],Tab_LKZGeb[beheizte
Nutzfläche
'[m²']],"&lt;&gt;&amp;"&amp;0,Tab_LKZGeb[Gebäudekategorie],$C54),0)</f>
        <v>0</v>
      </c>
      <c r="E54" s="36">
        <f>IFERROR(SUMIFS(Tab_LKZGeb[Energieverbrauch
Raumkühlung
'[kWh/a']],Tab_LKZGeb[Energieverbrauch
Raumkühlung
'[kWh/a']],"&lt;&gt;"&amp;0,Tab_LKZGeb[Gebäudekategorie],$C54)/SUMIFS(Tab_LKZGeb[gekühlte
Nutzfläche
'[m²']],Tab_LKZGeb[gekühlte
Nutzfläche
'[m²']],"&lt;&gt;&amp;"&amp;0,Tab_LKZGeb[Gebäudekategorie],$C54),0)</f>
        <v>0</v>
      </c>
      <c r="F54" s="36">
        <f>IFERROR(SUMIFS(Tab_LKZGeb[Energieverbrauch
Residuum
'[kWh/a']],Tab_LKZGeb[Energieverbrauch
Residuum
'[kWh/a']],"&lt;&gt;"&amp;0,Tab_LKZGeb[Gebäudekategorie],$C54)/SUMIFS(Tab_LKZGeb[Nutzfläche
gesamt
'[m²']],Tab_LKZGeb[Nutzfläche
gesamt
'[m²']],"&lt;&gt;"&amp;0,Tab_LKZGeb[Gebäudekategorie],$C54),0)</f>
        <v>0</v>
      </c>
      <c r="G54" s="18">
        <f>IFERROR(SUM(SUMIFS(Tab_LKZGeb[Energieverbrauch
Raumwärme
'[kWh/a']],Tab_LKZGeb[Energieverbrauch
Raumwärme
'[kWh/a']],"&lt;&gt;"&amp;0,Tab_LKZGeb[Gebäudekategorie],$C54),SUMIFS(Tab_LKZGeb[Energieverbrauch
Raumkühlung
'[kWh/a']],Tab_LKZGeb[Energieverbrauch
Raumkühlung
'[kWh/a']],"&lt;&gt;"&amp;0,Tab_LKZGeb[Gebäudekategorie],$C54),SUMIFS(Tab_LKZGeb[Energieverbrauch
Residuum
'[kWh/a']],Tab_LKZGeb[Energieverbrauch
Residuum
'[kWh/a']],"&lt;&gt;"&amp;0,Tab_LKZGeb[Gebäudekategorie],$C54))/10^3,0)</f>
        <v>0</v>
      </c>
      <c r="H54" s="37">
        <f>IFERROR(SUM(SUMIFS(Tab_LKZGeb[Energieverbrauch
Raumwärme
'[kWh/a']],Tab_LKZGeb[Energieverbrauch
Raumwärme
'[kWh/a']],"&lt;&gt;"&amp;0,Tab_LKZGeb[Gebäudekategorie],$C54),SUMIFS(Tab_LKZGeb[Energieverbrauch
Raumkühlung
'[kWh/a']],Tab_LKZGeb[Energieverbrauch
Raumkühlung
'[kWh/a']],"&lt;&gt;"&amp;0,Tab_LKZGeb[Gebäudekategorie],$C54),SUMIFS(Tab_LKZGeb[Energieverbrauch
Residuum
'[kWh/a']],Tab_LKZGeb[Energieverbrauch
Residuum
'[kWh/a']],"&lt;&gt;"&amp;0,Tab_LKZGeb[Gebäudekategorie],$C54))/SUMIFS(Tab_LKZGeb[Nutzfläche
gesamt
'[m²']],Tab_LKZGeb[Nutzfläche
gesamt
'[m²']],"&lt;&gt;"&amp;0,Tab_LKZGeb[Gebäudekategorie],$C54),0)</f>
        <v>0</v>
      </c>
      <c r="I54" s="18">
        <f>IF(G54=0,0,_xlfn.RANK.EQ(G54,$G$51:$G$62)+COUNTIF($G$51:$G54,$G54)-1)</f>
        <v>0</v>
      </c>
    </row>
    <row r="55" spans="1:9">
      <c r="C55" s="35" t="str">
        <v>Beherbergungsbetrieb</v>
      </c>
      <c r="D55" s="36">
        <f>IFERROR(SUMIFS(Tab_LKZGeb[Energieverbrauch
Raumwärme
'[kWh/a']],Tab_LKZGeb[Energieverbrauch
Raumwärme
'[kWh/a']],"&lt;&gt;"&amp;0,Tab_LKZGeb[Gebäudekategorie],$C55)/SUMIFS(Tab_LKZGeb[beheizte
Nutzfläche
'[m²']],Tab_LKZGeb[beheizte
Nutzfläche
'[m²']],"&lt;&gt;&amp;"&amp;0,Tab_LKZGeb[Gebäudekategorie],$C55),0)</f>
        <v>0</v>
      </c>
      <c r="E55" s="36">
        <f>IFERROR(SUMIFS(Tab_LKZGeb[Energieverbrauch
Raumkühlung
'[kWh/a']],Tab_LKZGeb[Energieverbrauch
Raumkühlung
'[kWh/a']],"&lt;&gt;"&amp;0,Tab_LKZGeb[Gebäudekategorie],$C55)/SUMIFS(Tab_LKZGeb[gekühlte
Nutzfläche
'[m²']],Tab_LKZGeb[gekühlte
Nutzfläche
'[m²']],"&lt;&gt;&amp;"&amp;0,Tab_LKZGeb[Gebäudekategorie],$C55),0)</f>
        <v>0</v>
      </c>
      <c r="F55" s="36">
        <f>IFERROR(SUMIFS(Tab_LKZGeb[Energieverbrauch
Residuum
'[kWh/a']],Tab_LKZGeb[Energieverbrauch
Residuum
'[kWh/a']],"&lt;&gt;"&amp;0,Tab_LKZGeb[Gebäudekategorie],$C55)/SUMIFS(Tab_LKZGeb[Nutzfläche
gesamt
'[m²']],Tab_LKZGeb[Nutzfläche
gesamt
'[m²']],"&lt;&gt;"&amp;0,Tab_LKZGeb[Gebäudekategorie],$C55),0)</f>
        <v>0</v>
      </c>
      <c r="G55" s="18">
        <f>IFERROR(SUM(SUMIFS(Tab_LKZGeb[Energieverbrauch
Raumwärme
'[kWh/a']],Tab_LKZGeb[Energieverbrauch
Raumwärme
'[kWh/a']],"&lt;&gt;"&amp;0,Tab_LKZGeb[Gebäudekategorie],$C55),SUMIFS(Tab_LKZGeb[Energieverbrauch
Raumkühlung
'[kWh/a']],Tab_LKZGeb[Energieverbrauch
Raumkühlung
'[kWh/a']],"&lt;&gt;"&amp;0,Tab_LKZGeb[Gebäudekategorie],$C55),SUMIFS(Tab_LKZGeb[Energieverbrauch
Residuum
'[kWh/a']],Tab_LKZGeb[Energieverbrauch
Residuum
'[kWh/a']],"&lt;&gt;"&amp;0,Tab_LKZGeb[Gebäudekategorie],$C55))/10^3,0)</f>
        <v>0</v>
      </c>
      <c r="H55" s="37">
        <f>IFERROR(SUM(SUMIFS(Tab_LKZGeb[Energieverbrauch
Raumwärme
'[kWh/a']],Tab_LKZGeb[Energieverbrauch
Raumwärme
'[kWh/a']],"&lt;&gt;"&amp;0,Tab_LKZGeb[Gebäudekategorie],$C55),SUMIFS(Tab_LKZGeb[Energieverbrauch
Raumkühlung
'[kWh/a']],Tab_LKZGeb[Energieverbrauch
Raumkühlung
'[kWh/a']],"&lt;&gt;"&amp;0,Tab_LKZGeb[Gebäudekategorie],$C55),SUMIFS(Tab_LKZGeb[Energieverbrauch
Residuum
'[kWh/a']],Tab_LKZGeb[Energieverbrauch
Residuum
'[kWh/a']],"&lt;&gt;"&amp;0,Tab_LKZGeb[Gebäudekategorie],$C55))/SUMIFS(Tab_LKZGeb[Nutzfläche
gesamt
'[m²']],Tab_LKZGeb[Nutzfläche
gesamt
'[m²']],"&lt;&gt;"&amp;0,Tab_LKZGeb[Gebäudekategorie],$C55),0)</f>
        <v>0</v>
      </c>
      <c r="I55" s="18">
        <f>IF(G55=0,0,_xlfn.RANK.EQ(G55,$G$51:$G$62)+COUNTIF($G$51:$G55,$G55)-1)</f>
        <v>0</v>
      </c>
    </row>
    <row r="56" spans="1:9">
      <c r="C56" s="35" t="str">
        <v>Gaststätte</v>
      </c>
      <c r="D56" s="36">
        <f>IFERROR(SUMIFS(Tab_LKZGeb[Energieverbrauch
Raumwärme
'[kWh/a']],Tab_LKZGeb[Energieverbrauch
Raumwärme
'[kWh/a']],"&lt;&gt;"&amp;0,Tab_LKZGeb[Gebäudekategorie],$C56)/SUMIFS(Tab_LKZGeb[beheizte
Nutzfläche
'[m²']],Tab_LKZGeb[beheizte
Nutzfläche
'[m²']],"&lt;&gt;&amp;"&amp;0,Tab_LKZGeb[Gebäudekategorie],$C56),0)</f>
        <v>0</v>
      </c>
      <c r="E56" s="36">
        <f>IFERROR(SUMIFS(Tab_LKZGeb[Energieverbrauch
Raumkühlung
'[kWh/a']],Tab_LKZGeb[Energieverbrauch
Raumkühlung
'[kWh/a']],"&lt;&gt;"&amp;0,Tab_LKZGeb[Gebäudekategorie],$C56)/SUMIFS(Tab_LKZGeb[gekühlte
Nutzfläche
'[m²']],Tab_LKZGeb[gekühlte
Nutzfläche
'[m²']],"&lt;&gt;&amp;"&amp;0,Tab_LKZGeb[Gebäudekategorie],$C56),0)</f>
        <v>0</v>
      </c>
      <c r="F56" s="36">
        <f>IFERROR(SUMIFS(Tab_LKZGeb[Energieverbrauch
Residuum
'[kWh/a']],Tab_LKZGeb[Energieverbrauch
Residuum
'[kWh/a']],"&lt;&gt;"&amp;0,Tab_LKZGeb[Gebäudekategorie],$C56)/SUMIFS(Tab_LKZGeb[Nutzfläche
gesamt
'[m²']],Tab_LKZGeb[Nutzfläche
gesamt
'[m²']],"&lt;&gt;"&amp;0,Tab_LKZGeb[Gebäudekategorie],$C56),0)</f>
        <v>0</v>
      </c>
      <c r="G56" s="18">
        <f>IFERROR(SUM(SUMIFS(Tab_LKZGeb[Energieverbrauch
Raumwärme
'[kWh/a']],Tab_LKZGeb[Energieverbrauch
Raumwärme
'[kWh/a']],"&lt;&gt;"&amp;0,Tab_LKZGeb[Gebäudekategorie],$C56),SUMIFS(Tab_LKZGeb[Energieverbrauch
Raumkühlung
'[kWh/a']],Tab_LKZGeb[Energieverbrauch
Raumkühlung
'[kWh/a']],"&lt;&gt;"&amp;0,Tab_LKZGeb[Gebäudekategorie],$C56),SUMIFS(Tab_LKZGeb[Energieverbrauch
Residuum
'[kWh/a']],Tab_LKZGeb[Energieverbrauch
Residuum
'[kWh/a']],"&lt;&gt;"&amp;0,Tab_LKZGeb[Gebäudekategorie],$C56))/10^3,0)</f>
        <v>0</v>
      </c>
      <c r="H56" s="37">
        <f>IFERROR(SUM(SUMIFS(Tab_LKZGeb[Energieverbrauch
Raumwärme
'[kWh/a']],Tab_LKZGeb[Energieverbrauch
Raumwärme
'[kWh/a']],"&lt;&gt;"&amp;0,Tab_LKZGeb[Gebäudekategorie],$C56),SUMIFS(Tab_LKZGeb[Energieverbrauch
Raumkühlung
'[kWh/a']],Tab_LKZGeb[Energieverbrauch
Raumkühlung
'[kWh/a']],"&lt;&gt;"&amp;0,Tab_LKZGeb[Gebäudekategorie],$C56),SUMIFS(Tab_LKZGeb[Energieverbrauch
Residuum
'[kWh/a']],Tab_LKZGeb[Energieverbrauch
Residuum
'[kWh/a']],"&lt;&gt;"&amp;0,Tab_LKZGeb[Gebäudekategorie],$C56))/SUMIFS(Tab_LKZGeb[Nutzfläche
gesamt
'[m²']],Tab_LKZGeb[Nutzfläche
gesamt
'[m²']],"&lt;&gt;"&amp;0,Tab_LKZGeb[Gebäudekategorie],$C56),0)</f>
        <v>0</v>
      </c>
      <c r="I56" s="18">
        <f>IF(G56=0,0,_xlfn.RANK.EQ(G56,$G$51:$G$62)+COUNTIF($G$51:$G56,$G56)-1)</f>
        <v>0</v>
      </c>
    </row>
    <row r="57" spans="1:9">
      <c r="C57" s="35" t="str">
        <v>Veranstaltungsstätte</v>
      </c>
      <c r="D57" s="36">
        <f>IFERROR(SUMIFS(Tab_LKZGeb[Energieverbrauch
Raumwärme
'[kWh/a']],Tab_LKZGeb[Energieverbrauch
Raumwärme
'[kWh/a']],"&lt;&gt;"&amp;0,Tab_LKZGeb[Gebäudekategorie],$C57)/SUMIFS(Tab_LKZGeb[beheizte
Nutzfläche
'[m²']],Tab_LKZGeb[beheizte
Nutzfläche
'[m²']],"&lt;&gt;&amp;"&amp;0,Tab_LKZGeb[Gebäudekategorie],$C57),0)</f>
        <v>0</v>
      </c>
      <c r="E57" s="36">
        <f>IFERROR(SUMIFS(Tab_LKZGeb[Energieverbrauch
Raumkühlung
'[kWh/a']],Tab_LKZGeb[Energieverbrauch
Raumkühlung
'[kWh/a']],"&lt;&gt;"&amp;0,Tab_LKZGeb[Gebäudekategorie],$C57)/SUMIFS(Tab_LKZGeb[gekühlte
Nutzfläche
'[m²']],Tab_LKZGeb[gekühlte
Nutzfläche
'[m²']],"&lt;&gt;&amp;"&amp;0,Tab_LKZGeb[Gebäudekategorie],$C57),0)</f>
        <v>0</v>
      </c>
      <c r="F57" s="36">
        <f>IFERROR(SUMIFS(Tab_LKZGeb[Energieverbrauch
Residuum
'[kWh/a']],Tab_LKZGeb[Energieverbrauch
Residuum
'[kWh/a']],"&lt;&gt;"&amp;0,Tab_LKZGeb[Gebäudekategorie],$C57)/SUMIFS(Tab_LKZGeb[Nutzfläche
gesamt
'[m²']],Tab_LKZGeb[Nutzfläche
gesamt
'[m²']],"&lt;&gt;"&amp;0,Tab_LKZGeb[Gebäudekategorie],$C57),0)</f>
        <v>0</v>
      </c>
      <c r="G57" s="18">
        <f>IFERROR(SUM(SUMIFS(Tab_LKZGeb[Energieverbrauch
Raumwärme
'[kWh/a']],Tab_LKZGeb[Energieverbrauch
Raumwärme
'[kWh/a']],"&lt;&gt;"&amp;0,Tab_LKZGeb[Gebäudekategorie],$C57),SUMIFS(Tab_LKZGeb[Energieverbrauch
Raumkühlung
'[kWh/a']],Tab_LKZGeb[Energieverbrauch
Raumkühlung
'[kWh/a']],"&lt;&gt;"&amp;0,Tab_LKZGeb[Gebäudekategorie],$C57),SUMIFS(Tab_LKZGeb[Energieverbrauch
Residuum
'[kWh/a']],Tab_LKZGeb[Energieverbrauch
Residuum
'[kWh/a']],"&lt;&gt;"&amp;0,Tab_LKZGeb[Gebäudekategorie],$C57))/10^3,0)</f>
        <v>0</v>
      </c>
      <c r="H57" s="37">
        <f>IFERROR(SUM(SUMIFS(Tab_LKZGeb[Energieverbrauch
Raumwärme
'[kWh/a']],Tab_LKZGeb[Energieverbrauch
Raumwärme
'[kWh/a']],"&lt;&gt;"&amp;0,Tab_LKZGeb[Gebäudekategorie],$C57),SUMIFS(Tab_LKZGeb[Energieverbrauch
Raumkühlung
'[kWh/a']],Tab_LKZGeb[Energieverbrauch
Raumkühlung
'[kWh/a']],"&lt;&gt;"&amp;0,Tab_LKZGeb[Gebäudekategorie],$C57),SUMIFS(Tab_LKZGeb[Energieverbrauch
Residuum
'[kWh/a']],Tab_LKZGeb[Energieverbrauch
Residuum
'[kWh/a']],"&lt;&gt;"&amp;0,Tab_LKZGeb[Gebäudekategorie],$C57))/SUMIFS(Tab_LKZGeb[Nutzfläche
gesamt
'[m²']],Tab_LKZGeb[Nutzfläche
gesamt
'[m²']],"&lt;&gt;"&amp;0,Tab_LKZGeb[Gebäudekategorie],$C57),0)</f>
        <v>0</v>
      </c>
      <c r="I57" s="18">
        <f>IF(G57=0,0,_xlfn.RANK.EQ(G57,$G$51:$G$62)+COUNTIF($G$51:$G57,$G57)-1)</f>
        <v>0</v>
      </c>
    </row>
    <row r="58" spans="1:9">
      <c r="C58" s="35" t="str">
        <v>Mehrzweckgebäude</v>
      </c>
      <c r="D58" s="36">
        <f>IFERROR(SUMIFS(Tab_LKZGeb[Energieverbrauch
Raumwärme
'[kWh/a']],Tab_LKZGeb[Energieverbrauch
Raumwärme
'[kWh/a']],"&lt;&gt;"&amp;0,Tab_LKZGeb[Gebäudekategorie],$C58)/SUMIFS(Tab_LKZGeb[beheizte
Nutzfläche
'[m²']],Tab_LKZGeb[beheizte
Nutzfläche
'[m²']],"&lt;&gt;&amp;"&amp;0,Tab_LKZGeb[Gebäudekategorie],$C58),0)</f>
        <v>0</v>
      </c>
      <c r="E58" s="36">
        <f>IFERROR(SUMIFS(Tab_LKZGeb[Energieverbrauch
Raumkühlung
'[kWh/a']],Tab_LKZGeb[Energieverbrauch
Raumkühlung
'[kWh/a']],"&lt;&gt;"&amp;0,Tab_LKZGeb[Gebäudekategorie],$C58)/SUMIFS(Tab_LKZGeb[gekühlte
Nutzfläche
'[m²']],Tab_LKZGeb[gekühlte
Nutzfläche
'[m²']],"&lt;&gt;&amp;"&amp;0,Tab_LKZGeb[Gebäudekategorie],$C58),0)</f>
        <v>0</v>
      </c>
      <c r="F58" s="36">
        <f>IFERROR(SUMIFS(Tab_LKZGeb[Energieverbrauch
Residuum
'[kWh/a']],Tab_LKZGeb[Energieverbrauch
Residuum
'[kWh/a']],"&lt;&gt;"&amp;0,Tab_LKZGeb[Gebäudekategorie],$C58)/SUMIFS(Tab_LKZGeb[Nutzfläche
gesamt
'[m²']],Tab_LKZGeb[Nutzfläche
gesamt
'[m²']],"&lt;&gt;"&amp;0,Tab_LKZGeb[Gebäudekategorie],$C58),0)</f>
        <v>0</v>
      </c>
      <c r="G58" s="18">
        <f>IFERROR(SUM(SUMIFS(Tab_LKZGeb[Energieverbrauch
Raumwärme
'[kWh/a']],Tab_LKZGeb[Energieverbrauch
Raumwärme
'[kWh/a']],"&lt;&gt;"&amp;0,Tab_LKZGeb[Gebäudekategorie],$C58),SUMIFS(Tab_LKZGeb[Energieverbrauch
Raumkühlung
'[kWh/a']],Tab_LKZGeb[Energieverbrauch
Raumkühlung
'[kWh/a']],"&lt;&gt;"&amp;0,Tab_LKZGeb[Gebäudekategorie],$C58),SUMIFS(Tab_LKZGeb[Energieverbrauch
Residuum
'[kWh/a']],Tab_LKZGeb[Energieverbrauch
Residuum
'[kWh/a']],"&lt;&gt;"&amp;0,Tab_LKZGeb[Gebäudekategorie],$C58))/10^3,0)</f>
        <v>0</v>
      </c>
      <c r="H58" s="37">
        <f>IFERROR(SUM(SUMIFS(Tab_LKZGeb[Energieverbrauch
Raumwärme
'[kWh/a']],Tab_LKZGeb[Energieverbrauch
Raumwärme
'[kWh/a']],"&lt;&gt;"&amp;0,Tab_LKZGeb[Gebäudekategorie],$C58),SUMIFS(Tab_LKZGeb[Energieverbrauch
Raumkühlung
'[kWh/a']],Tab_LKZGeb[Energieverbrauch
Raumkühlung
'[kWh/a']],"&lt;&gt;"&amp;0,Tab_LKZGeb[Gebäudekategorie],$C58),SUMIFS(Tab_LKZGeb[Energieverbrauch
Residuum
'[kWh/a']],Tab_LKZGeb[Energieverbrauch
Residuum
'[kWh/a']],"&lt;&gt;"&amp;0,Tab_LKZGeb[Gebäudekategorie],$C58))/SUMIFS(Tab_LKZGeb[Nutzfläche
gesamt
'[m²']],Tab_LKZGeb[Nutzfläche
gesamt
'[m²']],"&lt;&gt;"&amp;0,Tab_LKZGeb[Gebäudekategorie],$C58),0)</f>
        <v>0</v>
      </c>
      <c r="I58" s="18">
        <f>IF(G58=0,0,_xlfn.RANK.EQ(G58,$G$51:$G$62)+COUNTIF($G$51:$G58,$G58)-1)</f>
        <v>0</v>
      </c>
    </row>
    <row r="59" spans="1:9">
      <c r="C59" s="35" t="str">
        <v>Verkaufsstätte</v>
      </c>
      <c r="D59" s="36">
        <f>IFERROR(SUMIFS(Tab_LKZGeb[Energieverbrauch
Raumwärme
'[kWh/a']],Tab_LKZGeb[Energieverbrauch
Raumwärme
'[kWh/a']],"&lt;&gt;"&amp;0,Tab_LKZGeb[Gebäudekategorie],$C59)/SUMIFS(Tab_LKZGeb[beheizte
Nutzfläche
'[m²']],Tab_LKZGeb[beheizte
Nutzfläche
'[m²']],"&lt;&gt;&amp;"&amp;0,Tab_LKZGeb[Gebäudekategorie],$C59),0)</f>
        <v>0</v>
      </c>
      <c r="E59" s="36">
        <f>IFERROR(SUMIFS(Tab_LKZGeb[Energieverbrauch
Raumkühlung
'[kWh/a']],Tab_LKZGeb[Energieverbrauch
Raumkühlung
'[kWh/a']],"&lt;&gt;"&amp;0,Tab_LKZGeb[Gebäudekategorie],$C59)/SUMIFS(Tab_LKZGeb[gekühlte
Nutzfläche
'[m²']],Tab_LKZGeb[gekühlte
Nutzfläche
'[m²']],"&lt;&gt;&amp;"&amp;0,Tab_LKZGeb[Gebäudekategorie],$C59),0)</f>
        <v>0</v>
      </c>
      <c r="F59" s="36">
        <f>IFERROR(SUMIFS(Tab_LKZGeb[Energieverbrauch
Residuum
'[kWh/a']],Tab_LKZGeb[Energieverbrauch
Residuum
'[kWh/a']],"&lt;&gt;"&amp;0,Tab_LKZGeb[Gebäudekategorie],$C59)/SUMIFS(Tab_LKZGeb[Nutzfläche
gesamt
'[m²']],Tab_LKZGeb[Nutzfläche
gesamt
'[m²']],"&lt;&gt;"&amp;0,Tab_LKZGeb[Gebäudekategorie],$C59),0)</f>
        <v>0</v>
      </c>
      <c r="G59" s="18">
        <f>IFERROR(SUM(SUMIFS(Tab_LKZGeb[Energieverbrauch
Raumwärme
'[kWh/a']],Tab_LKZGeb[Energieverbrauch
Raumwärme
'[kWh/a']],"&lt;&gt;"&amp;0,Tab_LKZGeb[Gebäudekategorie],$C59),SUMIFS(Tab_LKZGeb[Energieverbrauch
Raumkühlung
'[kWh/a']],Tab_LKZGeb[Energieverbrauch
Raumkühlung
'[kWh/a']],"&lt;&gt;"&amp;0,Tab_LKZGeb[Gebäudekategorie],$C59),SUMIFS(Tab_LKZGeb[Energieverbrauch
Residuum
'[kWh/a']],Tab_LKZGeb[Energieverbrauch
Residuum
'[kWh/a']],"&lt;&gt;"&amp;0,Tab_LKZGeb[Gebäudekategorie],$C59))/10^3,0)</f>
        <v>0</v>
      </c>
      <c r="H59" s="37">
        <f>IFERROR(SUM(SUMIFS(Tab_LKZGeb[Energieverbrauch
Raumwärme
'[kWh/a']],Tab_LKZGeb[Energieverbrauch
Raumwärme
'[kWh/a']],"&lt;&gt;"&amp;0,Tab_LKZGeb[Gebäudekategorie],$C59),SUMIFS(Tab_LKZGeb[Energieverbrauch
Raumkühlung
'[kWh/a']],Tab_LKZGeb[Energieverbrauch
Raumkühlung
'[kWh/a']],"&lt;&gt;"&amp;0,Tab_LKZGeb[Gebäudekategorie],$C59),SUMIFS(Tab_LKZGeb[Energieverbrauch
Residuum
'[kWh/a']],Tab_LKZGeb[Energieverbrauch
Residuum
'[kWh/a']],"&lt;&gt;"&amp;0,Tab_LKZGeb[Gebäudekategorie],$C59))/SUMIFS(Tab_LKZGeb[Nutzfläche
gesamt
'[m²']],Tab_LKZGeb[Nutzfläche
gesamt
'[m²']],"&lt;&gt;"&amp;0,Tab_LKZGeb[Gebäudekategorie],$C59),0)</f>
        <v>0</v>
      </c>
      <c r="I59" s="18">
        <f>IF(G59=0,0,_xlfn.RANK.EQ(G59,$G$51:$G$62)+COUNTIF($G$51:$G59,$G59)-1)</f>
        <v>0</v>
      </c>
    </row>
    <row r="60" spans="1:9">
      <c r="C60" s="35" t="str">
        <v>Wohngebäude</v>
      </c>
      <c r="D60" s="36">
        <f>IFERROR(SUMIFS(Tab_LKZGeb[Energieverbrauch
Raumwärme
'[kWh/a']],Tab_LKZGeb[Energieverbrauch
Raumwärme
'[kWh/a']],"&lt;&gt;"&amp;0,Tab_LKZGeb[Gebäudekategorie],$C60)/SUMIFS(Tab_LKZGeb[beheizte
Nutzfläche
'[m²']],Tab_LKZGeb[beheizte
Nutzfläche
'[m²']],"&lt;&gt;&amp;"&amp;0,Tab_LKZGeb[Gebäudekategorie],$C60),0)</f>
        <v>0</v>
      </c>
      <c r="E60" s="36">
        <f>IFERROR(SUMIFS(Tab_LKZGeb[Energieverbrauch
Raumkühlung
'[kWh/a']],Tab_LKZGeb[Energieverbrauch
Raumkühlung
'[kWh/a']],"&lt;&gt;"&amp;0,Tab_LKZGeb[Gebäudekategorie],$C60)/SUMIFS(Tab_LKZGeb[gekühlte
Nutzfläche
'[m²']],Tab_LKZGeb[gekühlte
Nutzfläche
'[m²']],"&lt;&gt;&amp;"&amp;0,Tab_LKZGeb[Gebäudekategorie],$C60),0)</f>
        <v>0</v>
      </c>
      <c r="F60" s="36">
        <f>IFERROR(SUMIFS(Tab_LKZGeb[Energieverbrauch
Residuum
'[kWh/a']],Tab_LKZGeb[Energieverbrauch
Residuum
'[kWh/a']],"&lt;&gt;"&amp;0,Tab_LKZGeb[Gebäudekategorie],$C60)/SUMIFS(Tab_LKZGeb[Nutzfläche
gesamt
'[m²']],Tab_LKZGeb[Nutzfläche
gesamt
'[m²']],"&lt;&gt;"&amp;0,Tab_LKZGeb[Gebäudekategorie],$C60),0)</f>
        <v>0</v>
      </c>
      <c r="G60" s="18">
        <f>IFERROR(SUM(SUMIFS(Tab_LKZGeb[Energieverbrauch
Raumwärme
'[kWh/a']],Tab_LKZGeb[Energieverbrauch
Raumwärme
'[kWh/a']],"&lt;&gt;"&amp;0,Tab_LKZGeb[Gebäudekategorie],$C60),SUMIFS(Tab_LKZGeb[Energieverbrauch
Raumkühlung
'[kWh/a']],Tab_LKZGeb[Energieverbrauch
Raumkühlung
'[kWh/a']],"&lt;&gt;"&amp;0,Tab_LKZGeb[Gebäudekategorie],$C60),SUMIFS(Tab_LKZGeb[Energieverbrauch
Residuum
'[kWh/a']],Tab_LKZGeb[Energieverbrauch
Residuum
'[kWh/a']],"&lt;&gt;"&amp;0,Tab_LKZGeb[Gebäudekategorie],$C60))/10^3,0)</f>
        <v>0</v>
      </c>
      <c r="H60" s="37">
        <f>IFERROR(SUM(SUMIFS(Tab_LKZGeb[Energieverbrauch
Raumwärme
'[kWh/a']],Tab_LKZGeb[Energieverbrauch
Raumwärme
'[kWh/a']],"&lt;&gt;"&amp;0,Tab_LKZGeb[Gebäudekategorie],$C60),SUMIFS(Tab_LKZGeb[Energieverbrauch
Raumkühlung
'[kWh/a']],Tab_LKZGeb[Energieverbrauch
Raumkühlung
'[kWh/a']],"&lt;&gt;"&amp;0,Tab_LKZGeb[Gebäudekategorie],$C60),SUMIFS(Tab_LKZGeb[Energieverbrauch
Residuum
'[kWh/a']],Tab_LKZGeb[Energieverbrauch
Residuum
'[kWh/a']],"&lt;&gt;"&amp;0,Tab_LKZGeb[Gebäudekategorie],$C60))/SUMIFS(Tab_LKZGeb[Nutzfläche
gesamt
'[m²']],Tab_LKZGeb[Nutzfläche
gesamt
'[m²']],"&lt;&gt;"&amp;0,Tab_LKZGeb[Gebäudekategorie],$C60),0)</f>
        <v>0</v>
      </c>
      <c r="I60" s="18">
        <f>IF(G60=0,0,_xlfn.RANK.EQ(G60,$G$51:$G$62)+COUNTIF($G$51:$G60,$G60)-1)</f>
        <v>0</v>
      </c>
    </row>
    <row r="61" spans="1:9">
      <c r="C61" s="35" t="str">
        <v>sonstiges konditioniertes Gebäude</v>
      </c>
      <c r="D61" s="36">
        <f>IFERROR(SUMIFS(Tab_LKZGeb[Energieverbrauch
Raumwärme
'[kWh/a']],Tab_LKZGeb[Energieverbrauch
Raumwärme
'[kWh/a']],"&lt;&gt;"&amp;0,Tab_LKZGeb[Gebäudekategorie],$C61)/SUMIFS(Tab_LKZGeb[beheizte
Nutzfläche
'[m²']],Tab_LKZGeb[beheizte
Nutzfläche
'[m²']],"&lt;&gt;&amp;"&amp;0,Tab_LKZGeb[Gebäudekategorie],$C61),0)</f>
        <v>48.974358974358971</v>
      </c>
      <c r="E61" s="36">
        <f>IFERROR(SUMIFS(Tab_LKZGeb[Energieverbrauch
Raumkühlung
'[kWh/a']],Tab_LKZGeb[Energieverbrauch
Raumkühlung
'[kWh/a']],"&lt;&gt;"&amp;0,Tab_LKZGeb[Gebäudekategorie],$C61)/SUMIFS(Tab_LKZGeb[gekühlte
Nutzfläche
'[m²']],Tab_LKZGeb[gekühlte
Nutzfläche
'[m²']],"&lt;&gt;&amp;"&amp;0,Tab_LKZGeb[Gebäudekategorie],$C61),0)</f>
        <v>17.555555555555557</v>
      </c>
      <c r="F61" s="36">
        <f>IFERROR(SUMIFS(Tab_LKZGeb[Energieverbrauch
Residuum
'[kWh/a']],Tab_LKZGeb[Energieverbrauch
Residuum
'[kWh/a']],"&lt;&gt;"&amp;0,Tab_LKZGeb[Gebäudekategorie],$C61)/SUMIFS(Tab_LKZGeb[Nutzfläche
gesamt
'[m²']],Tab_LKZGeb[Nutzfläche
gesamt
'[m²']],"&lt;&gt;"&amp;0,Tab_LKZGeb[Gebäudekategorie],$C61),0)</f>
        <v>8.8666666666666671</v>
      </c>
      <c r="G61" s="18">
        <f>IFERROR(SUM(SUMIFS(Tab_LKZGeb[Energieverbrauch
Raumwärme
'[kWh/a']],Tab_LKZGeb[Energieverbrauch
Raumwärme
'[kWh/a']],"&lt;&gt;"&amp;0,Tab_LKZGeb[Gebäudekategorie],$C61),SUMIFS(Tab_LKZGeb[Energieverbrauch
Raumkühlung
'[kWh/a']],Tab_LKZGeb[Energieverbrauch
Raumkühlung
'[kWh/a']],"&lt;&gt;"&amp;0,Tab_LKZGeb[Gebäudekategorie],$C61),SUMIFS(Tab_LKZGeb[Energieverbrauch
Residuum
'[kWh/a']],Tab_LKZGeb[Energieverbrauch
Residuum
'[kWh/a']],"&lt;&gt;"&amp;0,Tab_LKZGeb[Gebäudekategorie],$C61))/10^3,0)</f>
        <v>4163</v>
      </c>
      <c r="H61" s="37">
        <f>IFERROR(SUM(SUMIFS(Tab_LKZGeb[Energieverbrauch
Raumwärme
'[kWh/a']],Tab_LKZGeb[Energieverbrauch
Raumwärme
'[kWh/a']],"&lt;&gt;"&amp;0,Tab_LKZGeb[Gebäudekategorie],$C61),SUMIFS(Tab_LKZGeb[Energieverbrauch
Raumkühlung
'[kWh/a']],Tab_LKZGeb[Energieverbrauch
Raumkühlung
'[kWh/a']],"&lt;&gt;"&amp;0,Tab_LKZGeb[Gebäudekategorie],$C61),SUMIFS(Tab_LKZGeb[Energieverbrauch
Residuum
'[kWh/a']],Tab_LKZGeb[Energieverbrauch
Residuum
'[kWh/a']],"&lt;&gt;"&amp;0,Tab_LKZGeb[Gebäudekategorie],$C61))/SUMIFS(Tab_LKZGeb[Nutzfläche
gesamt
'[m²']],Tab_LKZGeb[Nutzfläche
gesamt
'[m²']],"&lt;&gt;"&amp;0,Tab_LKZGeb[Gebäudekategorie],$C61),0)</f>
        <v>25.23030303030303</v>
      </c>
      <c r="I61" s="18">
        <f>IF(G61=0,0,_xlfn.RANK.EQ(G61,$G$51:$G$62)+COUNTIF($G$51:$G61,$G61)-1)</f>
        <v>1</v>
      </c>
    </row>
    <row r="62" spans="1:9">
      <c r="C62" s="35" t="str">
        <v>nicht konditioniertes Gebäude</v>
      </c>
      <c r="D62" s="36">
        <f>IFERROR(SUMIFS(Tab_LKZGeb[Energieverbrauch
Raumwärme
'[kWh/a']],Tab_LKZGeb[Energieverbrauch
Raumwärme
'[kWh/a']],"&lt;&gt;"&amp;0,Tab_LKZGeb[Gebäudekategorie],$C62)/SUMIFS(Tab_LKZGeb[beheizte
Nutzfläche
'[m²']],Tab_LKZGeb[beheizte
Nutzfläche
'[m²']],"&lt;&gt;&amp;"&amp;0,Tab_LKZGeb[Gebäudekategorie],$C62),0)</f>
        <v>0</v>
      </c>
      <c r="E62" s="36">
        <f>IFERROR(SUMIFS(Tab_LKZGeb[Energieverbrauch
Raumkühlung
'[kWh/a']],Tab_LKZGeb[Energieverbrauch
Raumkühlung
'[kWh/a']],"&lt;&gt;"&amp;0,Tab_LKZGeb[Gebäudekategorie],$C62)/SUMIFS(Tab_LKZGeb[gekühlte
Nutzfläche
'[m²']],Tab_LKZGeb[gekühlte
Nutzfläche
'[m²']],"&lt;&gt;&amp;"&amp;0,Tab_LKZGeb[Gebäudekategorie],$C62),0)</f>
        <v>0</v>
      </c>
      <c r="F62" s="36">
        <f>IFERROR(SUMIFS(Tab_LKZGeb[Energieverbrauch
Residuum
'[kWh/a']],Tab_LKZGeb[Energieverbrauch
Residuum
'[kWh/a']],"&lt;&gt;"&amp;0,Tab_LKZGeb[Gebäudekategorie],$C62)/SUMIFS(Tab_LKZGeb[Nutzfläche
gesamt
'[m²']],Tab_LKZGeb[Nutzfläche
gesamt
'[m²']],"&lt;&gt;"&amp;0,Tab_LKZGeb[Gebäudekategorie],$C62),0)</f>
        <v>0</v>
      </c>
      <c r="G62" s="18">
        <f>IFERROR(SUM(SUMIFS(Tab_LKZGeb[Energieverbrauch
Raumwärme
'[kWh/a']],Tab_LKZGeb[Energieverbrauch
Raumwärme
'[kWh/a']],"&lt;&gt;"&amp;0,Tab_LKZGeb[Gebäudekategorie],$C62),SUMIFS(Tab_LKZGeb[Energieverbrauch
Raumkühlung
'[kWh/a']],Tab_LKZGeb[Energieverbrauch
Raumkühlung
'[kWh/a']],"&lt;&gt;"&amp;0,Tab_LKZGeb[Gebäudekategorie],$C62),SUMIFS(Tab_LKZGeb[Energieverbrauch
Residuum
'[kWh/a']],Tab_LKZGeb[Energieverbrauch
Residuum
'[kWh/a']],"&lt;&gt;"&amp;0,Tab_LKZGeb[Gebäudekategorie],$C62))/10^3,0)</f>
        <v>0</v>
      </c>
      <c r="H62" s="37">
        <f>IFERROR(SUM(SUMIFS(Tab_LKZGeb[Energieverbrauch
Raumwärme
'[kWh/a']],Tab_LKZGeb[Energieverbrauch
Raumwärme
'[kWh/a']],"&lt;&gt;"&amp;0,Tab_LKZGeb[Gebäudekategorie],$C62),SUMIFS(Tab_LKZGeb[Energieverbrauch
Raumkühlung
'[kWh/a']],Tab_LKZGeb[Energieverbrauch
Raumkühlung
'[kWh/a']],"&lt;&gt;"&amp;0,Tab_LKZGeb[Gebäudekategorie],$C62),SUMIFS(Tab_LKZGeb[Energieverbrauch
Residuum
'[kWh/a']],Tab_LKZGeb[Energieverbrauch
Residuum
'[kWh/a']],"&lt;&gt;"&amp;0,Tab_LKZGeb[Gebäudekategorie],$C62))/SUMIFS(Tab_LKZGeb[Nutzfläche
gesamt
'[m²']],Tab_LKZGeb[Nutzfläche
gesamt
'[m²']],"&lt;&gt;"&amp;0,Tab_LKZGeb[Gebäudekategorie],$C62),0)</f>
        <v>0</v>
      </c>
      <c r="I62" s="18">
        <f>IF(G62=0,0,_xlfn.RANK.EQ(G62,$G$51:$G$62)+COUNTIF($G$51:$G62,$G62)-1)</f>
        <v>0</v>
      </c>
    </row>
    <row r="63" spans="1:9">
      <c r="C63" s="35" t="s">
        <v>457</v>
      </c>
      <c r="D63" s="37">
        <f>IFERROR(SUMIFS(Tab_LKZGeb[Energieverbrauch
Raumwärme
'[kWh/a']],Tab_LKZGeb[Energieverbrauch
Raumwärme
'[kWh/a']],"&lt;&gt;"&amp;0)/SUMIFS(Tab_LKZGeb[beheizte
Nutzfläche
'[m²']],Tab_LKZGeb[beheizte
Nutzfläche
'[m²']],"&lt;&gt;&amp;"&amp;0),0)</f>
        <v>51.529411764705884</v>
      </c>
      <c r="E63" s="37">
        <f>IFERROR(SUMIFS(Tab_LKZGeb[Energieverbrauch
Raumkühlung
'[kWh/a']],Tab_LKZGeb[Energieverbrauch
Raumkühlung
'[kWh/a']],"&lt;&gt;"&amp;0)/SUMIFS(Tab_LKZGeb[gekühlte
Nutzfläche
'[m²']],Tab_LKZGeb[gekühlte
Nutzfläche
'[m²']],"&lt;&gt;&amp;"&amp;0),0)</f>
        <v>17.319587628865978</v>
      </c>
      <c r="F63" s="37">
        <f>IFERROR(SUMIFS(Tab_LKZGeb[Energieverbrauch
Residuum
'[kWh/a']],Tab_LKZGeb[Energieverbrauch
Residuum
'[kWh/a']],"&lt;&gt;"&amp;0)/SUMIFS(Tab_LKZGeb[Nutzfläche
gesamt
'[m²']],Tab_LKZGeb[Nutzfläche
gesamt
'[m²']],"&lt;&gt;"&amp;0),0)</f>
        <v>9.1275964391691389</v>
      </c>
      <c r="G63" s="37">
        <f>IFERROR(SUMIFS(Tab_LKZGeb[Energieverbrauch
Residuum
'[kWh/a']],Tab_LKZGeb[Energieverbrauch
Residuum
'[kWh/a']],"&lt;&gt;"&amp;0)/SUMIFS(Tab_LKZGeb[Nutzfläche
gesamt
'[m²']],Tab_LKZGeb[Nutzfläche
gesamt
'[m²']],"&lt;&gt;"&amp;0),0)</f>
        <v>9.1275964391691389</v>
      </c>
      <c r="H63" s="37">
        <f>IFERROR(SUM(SUMIFS(Tab_LKZGeb[Energieverbrauch
Raumwärme
'[kWh/a']],Tab_LKZGeb[Energieverbrauch
Raumwärme
'[kWh/a']],"&lt;&gt;"&amp;0),SUMIFS(Tab_LKZGeb[Energieverbrauch
Raumkühlung
'[kWh/a']],Tab_LKZGeb[Energieverbrauch
Raumkühlung
'[kWh/a']],"&lt;&gt;"&amp;0),SUMIFS(Tab_LKZGeb[Energieverbrauch
Residuum
'[kWh/a']],Tab_LKZGeb[Energieverbrauch
Residuum
'[kWh/a']],"&lt;&gt;"&amp;0))/SUMIFS(Tab_LKZGeb[Nutzfläche
gesamt
'[m²']],Tab_LKZGeb[Nutzfläche
gesamt
'[m²']],"&lt;&gt;"&amp;0),0)</f>
        <v>27.109792284866469</v>
      </c>
    </row>
    <row r="66" spans="7:7">
      <c r="G66" s="51"/>
    </row>
  </sheetData>
  <sheetProtection algorithmName="SHA-512" hashValue="oV4sbJw/4FzU7h6xM5rYLtn5as9npAkLbGBDipcnLhFLD3muxsYlg51MREfv7xb0dUV1VNE++tt1Xmi4E8skEA==" saltValue="7dRu0FYYVUnj2N8YFuegXA==" spinCount="100000" sheet="1" objects="1" scenarios="1"/>
  <mergeCells count="3">
    <mergeCell ref="B16:B24"/>
    <mergeCell ref="B25:B33"/>
    <mergeCell ref="B34:B38"/>
  </mergeCells>
  <pageMargins left="0.7" right="0.7" top="0.78740157499999996" bottom="0.78740157499999996"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635484-B8D1-430E-B6B6-512A982DD98A}">
  <sheetPr>
    <tabColor rgb="FF0066A9"/>
  </sheetPr>
  <dimension ref="A1:C32"/>
  <sheetViews>
    <sheetView workbookViewId="0"/>
  </sheetViews>
  <sheetFormatPr baseColWidth="10" defaultColWidth="11" defaultRowHeight="14.25"/>
  <cols>
    <col min="1" max="1" width="51.625" customWidth="1"/>
    <col min="2" max="2" width="7.25" customWidth="1"/>
    <col min="3" max="3" width="10.875" customWidth="1"/>
  </cols>
  <sheetData>
    <row r="1" spans="1:3" ht="16.5" thickBot="1">
      <c r="A1" s="96" t="s">
        <v>11</v>
      </c>
      <c r="B1" s="96" t="s">
        <v>546</v>
      </c>
      <c r="C1" s="96" t="s">
        <v>85</v>
      </c>
    </row>
    <row r="2" spans="1:3" ht="15.75">
      <c r="A2" s="94" t="s">
        <v>547</v>
      </c>
      <c r="B2" s="95">
        <v>8.0277777777777768</v>
      </c>
      <c r="C2" s="95" t="s">
        <v>585</v>
      </c>
    </row>
    <row r="3" spans="1:3" ht="15.75">
      <c r="A3" s="94" t="s">
        <v>574</v>
      </c>
      <c r="B3" s="95">
        <v>7.6944444444444446</v>
      </c>
      <c r="C3" s="95" t="s">
        <v>585</v>
      </c>
    </row>
    <row r="4" spans="1:3" ht="15.75">
      <c r="A4" s="94" t="s">
        <v>548</v>
      </c>
      <c r="B4" s="95">
        <v>5.9166666666666661</v>
      </c>
      <c r="C4" s="95" t="s">
        <v>585</v>
      </c>
    </row>
    <row r="5" spans="1:3" ht="15.75">
      <c r="A5" s="94" t="s">
        <v>549</v>
      </c>
      <c r="B5" s="95">
        <v>11.805555555555557</v>
      </c>
      <c r="C5" s="95" t="s">
        <v>585</v>
      </c>
    </row>
    <row r="6" spans="1:3" ht="15.75">
      <c r="A6" s="94" t="s">
        <v>550</v>
      </c>
      <c r="B6" s="95">
        <v>10.666666666666666</v>
      </c>
      <c r="C6" s="95" t="s">
        <v>585</v>
      </c>
    </row>
    <row r="7" spans="1:3" ht="15.75">
      <c r="A7" s="94" t="s">
        <v>551</v>
      </c>
      <c r="B7" s="95">
        <v>11.611111111111109</v>
      </c>
      <c r="C7" s="95" t="s">
        <v>585</v>
      </c>
    </row>
    <row r="8" spans="1:3" ht="15.75">
      <c r="A8" s="94" t="s">
        <v>552</v>
      </c>
      <c r="B8" s="95">
        <v>12.055555555555557</v>
      </c>
      <c r="C8" s="95" t="s">
        <v>585</v>
      </c>
    </row>
    <row r="9" spans="1:3" ht="15.75">
      <c r="A9" s="94" t="s">
        <v>553</v>
      </c>
      <c r="B9" s="95">
        <v>11.777777777777777</v>
      </c>
      <c r="C9" s="95" t="s">
        <v>585</v>
      </c>
    </row>
    <row r="10" spans="1:3" ht="15.75">
      <c r="A10" s="94" t="s">
        <v>554</v>
      </c>
      <c r="B10" s="95">
        <v>11.888888888888889</v>
      </c>
      <c r="C10" s="95" t="s">
        <v>585</v>
      </c>
    </row>
    <row r="11" spans="1:3" ht="15.75">
      <c r="A11" s="94" t="s">
        <v>555</v>
      </c>
      <c r="B11" s="95">
        <v>11.444444444444443</v>
      </c>
      <c r="C11" s="95" t="s">
        <v>585</v>
      </c>
    </row>
    <row r="12" spans="1:3" ht="15.75">
      <c r="A12" s="94" t="s">
        <v>556</v>
      </c>
      <c r="B12" s="95">
        <v>12.805555555555557</v>
      </c>
      <c r="C12" s="95" t="s">
        <v>585</v>
      </c>
    </row>
    <row r="13" spans="1:3" ht="15.75">
      <c r="A13" s="94" t="s">
        <v>575</v>
      </c>
      <c r="B13" s="95">
        <v>12.277777777777779</v>
      </c>
      <c r="C13" s="95" t="s">
        <v>585</v>
      </c>
    </row>
    <row r="14" spans="1:3" ht="15.75">
      <c r="A14" s="94" t="s">
        <v>557</v>
      </c>
      <c r="B14" s="95">
        <v>7.4444444444444455</v>
      </c>
      <c r="C14" s="95" t="s">
        <v>585</v>
      </c>
    </row>
    <row r="15" spans="1:3" ht="15.75">
      <c r="A15" s="94" t="s">
        <v>558</v>
      </c>
      <c r="B15" s="95">
        <v>10.194444444444445</v>
      </c>
      <c r="C15" s="95" t="s">
        <v>586</v>
      </c>
    </row>
    <row r="16" spans="1:3" ht="15.75">
      <c r="A16" s="94" t="s">
        <v>559</v>
      </c>
      <c r="B16" s="95">
        <v>0.88888888888888906</v>
      </c>
      <c r="C16" s="95" t="s">
        <v>586</v>
      </c>
    </row>
    <row r="17" spans="1:3" ht="15.75">
      <c r="A17" s="94" t="s">
        <v>560</v>
      </c>
      <c r="B17" s="95">
        <v>1.9444444444444444</v>
      </c>
      <c r="C17" s="95" t="s">
        <v>586</v>
      </c>
    </row>
    <row r="18" spans="1:3" ht="15.75">
      <c r="A18" s="94" t="s">
        <v>561</v>
      </c>
      <c r="B18" s="95">
        <v>4.833333333333333</v>
      </c>
      <c r="C18" s="95" t="s">
        <v>586</v>
      </c>
    </row>
    <row r="19" spans="1:3" ht="15.75">
      <c r="A19" s="94" t="s">
        <v>562</v>
      </c>
      <c r="B19" s="95">
        <v>5.4722222222222214</v>
      </c>
      <c r="C19" s="95" t="s">
        <v>585</v>
      </c>
    </row>
    <row r="20" spans="1:3" ht="15.75">
      <c r="A20" s="94" t="s">
        <v>563</v>
      </c>
      <c r="B20" s="95">
        <v>2.8888888888888888</v>
      </c>
      <c r="C20" s="95" t="s">
        <v>585</v>
      </c>
    </row>
    <row r="21" spans="1:3" ht="15.75">
      <c r="A21" s="94" t="s">
        <v>564</v>
      </c>
      <c r="B21" s="95">
        <v>3.9722222222222228</v>
      </c>
      <c r="C21" s="95" t="s">
        <v>585</v>
      </c>
    </row>
    <row r="22" spans="1:3" ht="15.75">
      <c r="A22" s="94" t="s">
        <v>565</v>
      </c>
      <c r="B22" s="95">
        <v>4.8055555555555554</v>
      </c>
      <c r="C22" s="95" t="s">
        <v>585</v>
      </c>
    </row>
    <row r="23" spans="1:3" ht="15.75">
      <c r="A23" s="94" t="s">
        <v>566</v>
      </c>
      <c r="B23" s="95">
        <v>3.0833333333333335</v>
      </c>
      <c r="C23" s="95" t="s">
        <v>585</v>
      </c>
    </row>
    <row r="24" spans="1:3" ht="15.75">
      <c r="A24" s="94" t="s">
        <v>567</v>
      </c>
      <c r="B24" s="95">
        <v>7.916666666666667</v>
      </c>
      <c r="C24" s="95" t="s">
        <v>585</v>
      </c>
    </row>
    <row r="25" spans="1:3" ht="15.75">
      <c r="A25" s="94" t="s">
        <v>568</v>
      </c>
      <c r="B25" s="95">
        <v>2.3611111111111112</v>
      </c>
      <c r="C25" s="95" t="s">
        <v>585</v>
      </c>
    </row>
    <row r="26" spans="1:3" ht="15.75">
      <c r="A26" s="94" t="s">
        <v>569</v>
      </c>
      <c r="B26" s="95">
        <v>4.1111111111111116</v>
      </c>
      <c r="C26" s="95" t="s">
        <v>586</v>
      </c>
    </row>
    <row r="27" spans="1:3" ht="15.75">
      <c r="A27" s="94" t="s">
        <v>570</v>
      </c>
      <c r="B27" s="95">
        <v>4.8055555555555554</v>
      </c>
      <c r="C27" s="95" t="s">
        <v>586</v>
      </c>
    </row>
    <row r="28" spans="1:3" ht="15.75">
      <c r="A28" s="94" t="s">
        <v>571</v>
      </c>
      <c r="B28" s="95">
        <v>10.194444444444445</v>
      </c>
      <c r="C28" s="95" t="s">
        <v>586</v>
      </c>
    </row>
    <row r="29" spans="1:3" ht="15.75">
      <c r="A29" s="94" t="s">
        <v>572</v>
      </c>
      <c r="B29" s="95">
        <v>7.583333333333333</v>
      </c>
      <c r="C29" s="95" t="s">
        <v>585</v>
      </c>
    </row>
    <row r="30" spans="1:3" ht="15.75">
      <c r="A30" s="94" t="s">
        <v>573</v>
      </c>
      <c r="B30" s="95">
        <v>10.361111111111109</v>
      </c>
      <c r="C30" s="95" t="s">
        <v>585</v>
      </c>
    </row>
    <row r="31" spans="1:3" ht="15.75">
      <c r="A31" s="94" t="s">
        <v>576</v>
      </c>
      <c r="B31" s="95">
        <v>10.694444444444445</v>
      </c>
      <c r="C31" s="95" t="s">
        <v>585</v>
      </c>
    </row>
    <row r="32" spans="1:3" ht="15.75">
      <c r="A32" s="94" t="s">
        <v>577</v>
      </c>
      <c r="B32" s="95">
        <v>1.8055555555555554</v>
      </c>
      <c r="C32" s="95" t="s">
        <v>585</v>
      </c>
    </row>
  </sheetData>
  <sheetProtection algorithmName="SHA-512" hashValue="Y81htsg9UDaDopiD0DchyvCxmJ6CSzRhWwuIXtAyp2rb/rpnBHwiDFxW3+4klyox89rBhoti2ssxL+DgjXrL2A==" saltValue="V8U/xb5V9Whxhdd75yjWLQ==" spinCount="100000" sheet="1" objects="1" scenarios="1"/>
  <phoneticPr fontId="3" type="noConversion"/>
  <pageMargins left="0.7" right="0.7" top="0.78740157499999996" bottom="0.78740157499999996"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927C61-4826-404F-8FB9-022F066DC662}">
  <sheetPr>
    <tabColor rgb="FFAEBCC5"/>
  </sheetPr>
  <dimension ref="A1"/>
  <sheetViews>
    <sheetView workbookViewId="0"/>
  </sheetViews>
  <sheetFormatPr baseColWidth="10" defaultColWidth="11" defaultRowHeight="14.25"/>
  <cols>
    <col min="1" max="16384" width="11" style="2"/>
  </cols>
  <sheetData>
    <row r="1" spans="1:1">
      <c r="A1" s="2" t="s">
        <v>687</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13</vt:i4>
      </vt:variant>
      <vt:variant>
        <vt:lpstr>Benannte Bereiche</vt:lpstr>
      </vt:variant>
      <vt:variant>
        <vt:i4>56</vt:i4>
      </vt:variant>
    </vt:vector>
  </HeadingPairs>
  <TitlesOfParts>
    <vt:vector size="69" baseType="lpstr">
      <vt:lpstr>Anleitung</vt:lpstr>
      <vt:lpstr>Übersicht</vt:lpstr>
      <vt:lpstr>Unternehmen</vt:lpstr>
      <vt:lpstr>Verbrauch</vt:lpstr>
      <vt:lpstr>Hauptverbraucher</vt:lpstr>
      <vt:lpstr>Kennzahlen</vt:lpstr>
      <vt:lpstr>Abwärme</vt:lpstr>
      <vt:lpstr>Maßnahmen</vt:lpstr>
      <vt:lpstr>Mitwirkende</vt:lpstr>
      <vt:lpstr>DropDown</vt:lpstr>
      <vt:lpstr>Nebenrechnungen</vt:lpstr>
      <vt:lpstr>Umrechnungsfaktoren</vt:lpstr>
      <vt:lpstr>Notizen</vt:lpstr>
      <vt:lpstr>DD_AbwN</vt:lpstr>
      <vt:lpstr>DD_AbwNutzung</vt:lpstr>
      <vt:lpstr>DD_EAvsMS</vt:lpstr>
      <vt:lpstr>DD_Einheiten</vt:lpstr>
      <vt:lpstr>DD_ET</vt:lpstr>
      <vt:lpstr>DD_FzgKat</vt:lpstr>
      <vt:lpstr>DD_GebKat</vt:lpstr>
      <vt:lpstr>DD_MNStat</vt:lpstr>
      <vt:lpstr>DD_NKat</vt:lpstr>
      <vt:lpstr>DD_ÖCPA</vt:lpstr>
      <vt:lpstr>DD_ÖNACE</vt:lpstr>
      <vt:lpstr>DD_RegTyp</vt:lpstr>
      <vt:lpstr>Abwärme!Druckbereich</vt:lpstr>
      <vt:lpstr>Anleitung!Druckbereich</vt:lpstr>
      <vt:lpstr>Hauptverbraucher!Druckbereich</vt:lpstr>
      <vt:lpstr>Kennzahlen!Druckbereich</vt:lpstr>
      <vt:lpstr>Maßnahmen!Druckbereich</vt:lpstr>
      <vt:lpstr>Mitwirkende!Druckbereich</vt:lpstr>
      <vt:lpstr>Übersicht!Druckbereich</vt:lpstr>
      <vt:lpstr>Unternehmen!Druckbereich</vt:lpstr>
      <vt:lpstr>Verbrauch!Druckbereich</vt:lpstr>
      <vt:lpstr>Abwärme!Drucktitel</vt:lpstr>
      <vt:lpstr>Hauptverbraucher!Drucktitel</vt:lpstr>
      <vt:lpstr>Maßnahmen!Drucktitel</vt:lpstr>
      <vt:lpstr>Mitwirkende!Drucktitel</vt:lpstr>
      <vt:lpstr>Unternehmen!Drucktitel</vt:lpstr>
      <vt:lpstr>Jahr</vt:lpstr>
      <vt:lpstr>Label_G</vt:lpstr>
      <vt:lpstr>Label_P</vt:lpstr>
      <vt:lpstr>Label_T</vt:lpstr>
      <vt:lpstr>P_wEVBHEVG</vt:lpstr>
      <vt:lpstr>P_wEVBHEVP</vt:lpstr>
      <vt:lpstr>P_wEVBHEVT</vt:lpstr>
      <vt:lpstr>P_wEVBLKZG</vt:lpstr>
      <vt:lpstr>P_wEVBLKZP</vt:lpstr>
      <vt:lpstr>P_wEVBLKZT</vt:lpstr>
      <vt:lpstr>P_wEVBMNG</vt:lpstr>
      <vt:lpstr>P_wEVBMNP</vt:lpstr>
      <vt:lpstr>P_wEVBMNT</vt:lpstr>
      <vt:lpstr>Tab_HEV_End</vt:lpstr>
      <vt:lpstr>Ü_Abw</vt:lpstr>
      <vt:lpstr>Ü_EEMN</vt:lpstr>
      <vt:lpstr>Ü_EV</vt:lpstr>
      <vt:lpstr>Ü_HEV</vt:lpstr>
      <vt:lpstr>Ü_LKZ</vt:lpstr>
      <vt:lpstr>Ü_LKZG</vt:lpstr>
      <vt:lpstr>Ü_LKZGTab</vt:lpstr>
      <vt:lpstr>Ü_LKZP</vt:lpstr>
      <vt:lpstr>Ü_LKZPTab</vt:lpstr>
      <vt:lpstr>Ü_LKZT</vt:lpstr>
      <vt:lpstr>Ü_LKZTTab</vt:lpstr>
      <vt:lpstr>Ü_Pers</vt:lpstr>
      <vt:lpstr>Ü_Unt</vt:lpstr>
      <vt:lpstr>wEVB_G</vt:lpstr>
      <vt:lpstr>wEVB_P</vt:lpstr>
      <vt:lpstr>wEVB_T</vt:lpstr>
    </vt:vector>
  </TitlesOfParts>
  <Company>E-Control Austria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Muster_StandardisierterKurzbericht_Industrieunternehmen</dc:title>
  <dc:creator/>
  <cp:lastModifiedBy>Ploiner Christoph</cp:lastModifiedBy>
  <cp:lastPrinted>2024-01-15T13:41:32Z</cp:lastPrinted>
  <dcterms:created xsi:type="dcterms:W3CDTF">2024-01-04T13:05:55Z</dcterms:created>
  <dcterms:modified xsi:type="dcterms:W3CDTF">2024-02-07T12:42:00Z</dcterms:modified>
</cp:coreProperties>
</file>